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7890" windowHeight="5250" tabRatio="601" firstSheet="3" activeTab="4"/>
  </bookViews>
  <sheets>
    <sheet name="River-Res data" sheetId="1" r:id="rId1"/>
    <sheet name="1998 Flow" sheetId="2" r:id="rId2"/>
    <sheet name="Walker-carlson" sheetId="3" r:id="rId3"/>
    <sheet name="Res trends" sheetId="4" r:id="rId4"/>
    <sheet name="Loading" sheetId="5" r:id="rId5"/>
    <sheet name="Models" sheetId="6" r:id="rId6"/>
    <sheet name="Summary" sheetId="7" r:id="rId7"/>
    <sheet name="Phytoplank" sheetId="8" r:id="rId8"/>
    <sheet name="Hardness" sheetId="9" r:id="rId9"/>
    <sheet name="QC" sheetId="10" r:id="rId10"/>
    <sheet name="Metals" sheetId="11" r:id="rId11"/>
  </sheets>
  <definedNames>
    <definedName name="_xlnm.Print_Area" localSheetId="1">'1998 Flow'!$E$12:$J$32</definedName>
    <definedName name="_xlnm.Print_Area" localSheetId="10">'Metals'!$A$19:$H$263</definedName>
    <definedName name="_xlnm.Print_Area" localSheetId="5">'Models'!$A$5:$C$20</definedName>
    <definedName name="_xlnm.Print_Area" localSheetId="7">'Phytoplank'!$F$9:$L$48</definedName>
    <definedName name="_xlnm.Print_Area" localSheetId="9">'QC'!$A$67:$J$102</definedName>
    <definedName name="_xlnm.Print_Area" localSheetId="3">'Res trends'!$F$1:$R$34</definedName>
    <definedName name="_xlnm.Print_Area">'Walker-carlson'!$L$1:$R$25</definedName>
    <definedName name="PRINT_AREA_MI">'Walker-carlson'!$L$1:$R$25</definedName>
  </definedNames>
  <calcPr fullCalcOnLoad="1"/>
</workbook>
</file>

<file path=xl/sharedStrings.xml><?xml version="1.0" encoding="utf-8"?>
<sst xmlns="http://schemas.openxmlformats.org/spreadsheetml/2006/main" count="1864" uniqueCount="416">
  <si>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</si>
  <si>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</si>
  <si>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</si>
  <si>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</si>
  <si>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</si>
  <si>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</si>
  <si>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</si>
  <si>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</si>
  <si>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</si>
  <si>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</si>
  <si>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</si>
  <si>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Site 0</t>
  </si>
  <si>
    <t>Site 1</t>
  </si>
  <si>
    <t>Site 2</t>
  </si>
  <si>
    <t>Site DC</t>
  </si>
  <si>
    <t>Outflow</t>
  </si>
  <si>
    <t>Nitrate</t>
  </si>
  <si>
    <t>Total Phosphorus</t>
  </si>
  <si>
    <t>TSS</t>
  </si>
  <si>
    <t>Site 2C</t>
  </si>
  <si>
    <t>Fecal Coliform</t>
  </si>
  <si>
    <t>Flow</t>
  </si>
  <si>
    <t>Reservior Data</t>
  </si>
  <si>
    <t>Secchi</t>
  </si>
  <si>
    <t>Chlorophyll</t>
  </si>
  <si>
    <t>cfs</t>
  </si>
  <si>
    <t>2C</t>
  </si>
  <si>
    <t>Temperature</t>
  </si>
  <si>
    <t>Conductance</t>
  </si>
  <si>
    <t>Dissolved Oxygen</t>
  </si>
  <si>
    <t>pH</t>
  </si>
  <si>
    <t>NH3-Nitrogen</t>
  </si>
  <si>
    <t>Ortho Phosphorus</t>
  </si>
  <si>
    <t>Chlorophyll-a</t>
  </si>
  <si>
    <t>Total Depth</t>
  </si>
  <si>
    <t>Secchi Depth</t>
  </si>
  <si>
    <t>deg C</t>
  </si>
  <si>
    <t>us/cm</t>
  </si>
  <si>
    <t>mg/l</t>
  </si>
  <si>
    <t>s.u.</t>
  </si>
  <si>
    <t>g/m3</t>
  </si>
  <si>
    <t>ug/L</t>
  </si>
  <si>
    <t>m</t>
  </si>
  <si>
    <t>Fecal Coliforms</t>
  </si>
  <si>
    <t># /100ml</t>
  </si>
  <si>
    <t>Year</t>
  </si>
  <si>
    <t>mg/L as N</t>
  </si>
  <si>
    <t>mg/L as P</t>
  </si>
  <si>
    <t>Chatfield Reservoir Outflow near Littleton, CO (Site O)</t>
  </si>
  <si>
    <t>South Plate River at Waterton Canyon (Site 1)</t>
  </si>
  <si>
    <t>Plum Creek at Titan Road near Louviers, CO (Site 2)</t>
  </si>
  <si>
    <t>Combined Reservoir Sites</t>
  </si>
  <si>
    <t>Goals</t>
  </si>
  <si>
    <t>17 ug/L (target)</t>
  </si>
  <si>
    <t>27 ug/L (standard)</t>
  </si>
  <si>
    <t>Trophic Indicator</t>
  </si>
  <si>
    <t>Concentrations</t>
  </si>
  <si>
    <t>Average Growing Season Chlorophyll-a</t>
  </si>
  <si>
    <t>Peak Chlorophyll-a</t>
  </si>
  <si>
    <t>Average Total Phosphorus</t>
  </si>
  <si>
    <t>Peak Total Phosphorus</t>
  </si>
  <si>
    <t>Peak Ortho Phosphorus</t>
  </si>
  <si>
    <t>6.9 ug/L</t>
  </si>
  <si>
    <t>46 ug/L</t>
  </si>
  <si>
    <t>37ug/L</t>
  </si>
  <si>
    <t>3.1 m</t>
  </si>
  <si>
    <t>2.3 ug/L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</si>
  <si>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</si>
  <si>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</si>
  <si>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</si>
  <si>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</si>
  <si>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</si>
  <si>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</si>
  <si>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</si>
  <si>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</si>
  <si>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</si>
  <si>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</si>
  <si>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Site</t>
  </si>
  <si>
    <t>As</t>
  </si>
  <si>
    <t>Cd</t>
  </si>
  <si>
    <t>Ca</t>
  </si>
  <si>
    <t>Cu</t>
  </si>
  <si>
    <t>Cr(V)</t>
  </si>
  <si>
    <t>Cr(III)</t>
  </si>
  <si>
    <t>Mg</t>
  </si>
  <si>
    <t>Mn</t>
  </si>
  <si>
    <t>Ni</t>
  </si>
  <si>
    <t>Se</t>
  </si>
  <si>
    <t>Ag</t>
  </si>
  <si>
    <t>Zn</t>
  </si>
  <si>
    <t>y</t>
  </si>
  <si>
    <t>d</t>
  </si>
  <si>
    <t>Hg</t>
  </si>
  <si>
    <t>n</t>
  </si>
  <si>
    <t>Sediments</t>
  </si>
  <si>
    <t xml:space="preserve">y - above MDL </t>
  </si>
  <si>
    <t>d - detected, not above MDL</t>
  </si>
  <si>
    <t>n- not detected</t>
  </si>
  <si>
    <t>Metals</t>
  </si>
  <si>
    <t>HARDNESS</t>
  </si>
  <si>
    <t>(mg/L as CaCO3)</t>
  </si>
  <si>
    <t>Site 7</t>
  </si>
  <si>
    <t>0.02 mg/L</t>
  </si>
  <si>
    <t>ln(hardness)</t>
  </si>
  <si>
    <t>Ammonia</t>
  </si>
  <si>
    <t xml:space="preserve">Chronic </t>
  </si>
  <si>
    <t>Standards</t>
  </si>
  <si>
    <t>Acute</t>
  </si>
  <si>
    <t>Cadmium</t>
  </si>
  <si>
    <t>Chronic</t>
  </si>
  <si>
    <t>Cr III</t>
  </si>
  <si>
    <t>Cr VI</t>
  </si>
  <si>
    <t>Copper</t>
  </si>
  <si>
    <t>Lead</t>
  </si>
  <si>
    <t>Nickel</t>
  </si>
  <si>
    <t>Selenium</t>
  </si>
  <si>
    <t>Silver</t>
  </si>
  <si>
    <t>Observed</t>
  </si>
  <si>
    <t>no</t>
  </si>
  <si>
    <t>Exceedances</t>
  </si>
  <si>
    <t>Zinc</t>
  </si>
  <si>
    <t xml:space="preserve"> 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</si>
  <si>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</si>
  <si>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</si>
  <si>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</si>
  <si>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</si>
  <si>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</si>
  <si>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</si>
  <si>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</si>
  <si>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</si>
  <si>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</si>
  <si>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</si>
  <si>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</si>
  <si>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</si>
  <si>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</si>
  <si>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</si>
  <si>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</si>
  <si>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Column2</t>
  </si>
  <si>
    <t>Column0</t>
  </si>
  <si>
    <t>Column7</t>
  </si>
  <si>
    <t>Hardness</t>
  </si>
  <si>
    <t>Hardness*</t>
  </si>
  <si>
    <t>*Values are the lower 95% C.L. for mean hardness value for each site</t>
  </si>
  <si>
    <t>TP</t>
  </si>
  <si>
    <t>Standard</t>
  </si>
  <si>
    <r>
      <t>e</t>
    </r>
    <r>
      <rPr>
        <vertAlign val="superscript"/>
        <sz val="10"/>
        <rFont val="Helvetica"/>
        <family val="2"/>
      </rPr>
      <t>(1.72[ln(hardness)]-9.06</t>
    </r>
  </si>
  <si>
    <r>
      <t>e</t>
    </r>
    <r>
      <rPr>
        <vertAlign val="superscript"/>
        <sz val="10"/>
        <rFont val="Helvetica"/>
        <family val="2"/>
      </rPr>
      <t>(1.72[ln(hardness)]-7.21</t>
    </r>
  </si>
  <si>
    <r>
      <t>e</t>
    </r>
    <r>
      <rPr>
        <vertAlign val="superscript"/>
        <sz val="10"/>
        <rFont val="Helvetica"/>
        <family val="2"/>
      </rPr>
      <t>(1.417[ln(hardness)]-5.167</t>
    </r>
  </si>
  <si>
    <r>
      <t>e</t>
    </r>
    <r>
      <rPr>
        <vertAlign val="superscript"/>
        <sz val="10"/>
        <rFont val="Helvetica"/>
        <family val="2"/>
      </rPr>
      <t>(0.7852[ln(hardness)]-3.490</t>
    </r>
  </si>
  <si>
    <t>Bacillariophyta</t>
  </si>
  <si>
    <t>Chlorophyta</t>
  </si>
  <si>
    <t>Cryptophyta</t>
  </si>
  <si>
    <t>Euglenophyta</t>
  </si>
  <si>
    <t>Pyrrophyta</t>
  </si>
  <si>
    <t>SUSPENDED</t>
  </si>
  <si>
    <t>(NTUS)</t>
  </si>
  <si>
    <t>(mg/L)</t>
  </si>
  <si>
    <t>(Deg C)</t>
  </si>
  <si>
    <t>(#/100 ML)</t>
  </si>
  <si>
    <t>(mg/L as N)</t>
  </si>
  <si>
    <t>(mg/L as P)</t>
  </si>
  <si>
    <t>(cfs)</t>
  </si>
  <si>
    <t>(Meters)</t>
  </si>
  <si>
    <r>
      <t>(gm/M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</si>
  <si>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(mg/M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</si>
  <si>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Spec.  Cond</t>
  </si>
  <si>
    <t>Field</t>
  </si>
  <si>
    <t>(s.u.)</t>
  </si>
  <si>
    <t>(us/cm)</t>
  </si>
  <si>
    <t>Turbidity</t>
  </si>
  <si>
    <t>D.O.</t>
  </si>
  <si>
    <t>Temp</t>
  </si>
  <si>
    <t>Alkalinity</t>
  </si>
  <si>
    <t>BOD</t>
  </si>
  <si>
    <t>Cyanide</t>
  </si>
  <si>
    <t>NO3</t>
  </si>
  <si>
    <t>NO2/NO3</t>
  </si>
  <si>
    <t>NO2</t>
  </si>
  <si>
    <t>NH3-N</t>
  </si>
  <si>
    <t>N, Total</t>
  </si>
  <si>
    <t>Ortho-P, Total</t>
  </si>
  <si>
    <t>As, total</t>
  </si>
  <si>
    <t>Cd, Diss</t>
  </si>
  <si>
    <t>Ca, Diss</t>
  </si>
  <si>
    <t>Cu, Diss</t>
  </si>
  <si>
    <t>Cr(VI), Diss</t>
  </si>
  <si>
    <t>Cr(III), Diss</t>
  </si>
  <si>
    <t>Fe, Diss</t>
  </si>
  <si>
    <t>Pb, Diss</t>
  </si>
  <si>
    <t>Mg, Diss</t>
  </si>
  <si>
    <t>Mn, Diss</t>
  </si>
  <si>
    <t>Hg, Diss</t>
  </si>
  <si>
    <t>Ni, Diss</t>
  </si>
  <si>
    <t>Se, Diss</t>
  </si>
  <si>
    <t>Ag, Diss</t>
  </si>
  <si>
    <t>Zn, Diss</t>
  </si>
  <si>
    <t>Sample Depth</t>
  </si>
  <si>
    <t>Secchi Disk</t>
  </si>
  <si>
    <t>Chloro-a</t>
  </si>
  <si>
    <t>Asterionella formosa var. formosa</t>
  </si>
  <si>
    <t>Fragilaria crotensis</t>
  </si>
  <si>
    <t>Stephanodiscus astraea</t>
  </si>
  <si>
    <t>Chlamydomonas sp.</t>
  </si>
  <si>
    <t>Closterium sp.</t>
  </si>
  <si>
    <t>Cyanophyta</t>
  </si>
  <si>
    <t>Aphanocapsa delicatissima</t>
  </si>
  <si>
    <t>Merimopedia tenuissima</t>
  </si>
  <si>
    <t>Chrysophyta</t>
  </si>
  <si>
    <t>Dinobryon sociale</t>
  </si>
  <si>
    <t>Trachelomonas sp.</t>
  </si>
  <si>
    <t>Cryptmonas erosa</t>
  </si>
  <si>
    <t>Ceratium hirundinella</t>
  </si>
  <si>
    <t>Cosmarium sp.</t>
  </si>
  <si>
    <t>Mougeotia sp.</t>
  </si>
  <si>
    <t>Anabaena spiroides</t>
  </si>
  <si>
    <t>Total Count</t>
  </si>
  <si>
    <t>TOTAL</t>
  </si>
  <si>
    <t>mg/L</t>
  </si>
  <si>
    <t>MDL / 2</t>
  </si>
  <si>
    <t>Data Sheets</t>
  </si>
  <si>
    <t>Unit Conversion</t>
  </si>
  <si>
    <t>Observed Values</t>
  </si>
  <si>
    <t>Quality Control Check</t>
  </si>
  <si>
    <t>1.417*ln(hardness)</t>
  </si>
  <si>
    <t>Lead(chronic)</t>
  </si>
  <si>
    <t>Silver(acute)</t>
  </si>
  <si>
    <t>1.72*ln(hardness)</t>
  </si>
  <si>
    <t>[1.72*ln(hardness)]-7.21</t>
  </si>
  <si>
    <t>Silver(chronic)</t>
  </si>
  <si>
    <t>[1.417*ln(hardness)]-5.167</t>
  </si>
  <si>
    <t>[1.72*ln(hardness)]-9.06</t>
  </si>
  <si>
    <r>
      <t>e</t>
    </r>
    <r>
      <rPr>
        <vertAlign val="superscript"/>
        <sz val="6"/>
        <rFont val="Helvetica"/>
        <family val="2"/>
      </rPr>
      <t>(1.417[ln(hardness)]-5.167</t>
    </r>
  </si>
  <si>
    <r>
      <t>e</t>
    </r>
    <r>
      <rPr>
        <vertAlign val="superscript"/>
        <sz val="6"/>
        <rFont val="Helvetica"/>
        <family val="2"/>
      </rPr>
      <t>(1.72[ln(hardness)]-7.21</t>
    </r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</si>
  <si>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</si>
  <si>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</si>
  <si>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</si>
  <si>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</si>
  <si>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</si>
  <si>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</si>
  <si>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</si>
  <si>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</si>
  <si>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</si>
  <si>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</si>
  <si>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</si>
  <si>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</si>
  <si>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</si>
  <si>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</si>
  <si>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</si>
  <si>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</si>
  <si>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</si>
  <si>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</si>
  <si>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</si>
  <si>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</si>
  <si>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</si>
  <si>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</si>
  <si>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</si>
  <si>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</si>
  <si>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</si>
  <si>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</si>
  <si>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</si>
  <si>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</si>
  <si>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</si>
  <si>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</si>
  <si>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</si>
  <si>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</si>
  <si>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</si>
  <si>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</si>
  <si>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</si>
  <si>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</si>
  <si>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</si>
  <si>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</si>
  <si>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</si>
  <si>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</si>
  <si>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</si>
  <si>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</si>
  <si>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</si>
  <si>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</si>
  <si>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</si>
  <si>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</si>
  <si>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</si>
  <si>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</si>
  <si>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</si>
  <si>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</si>
  <si>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</si>
  <si>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</si>
  <si>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</si>
  <si>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</si>
  <si>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</si>
  <si>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</si>
  <si>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</si>
  <si>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</si>
  <si>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</si>
  <si>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1998 Flow Estimates Chatfield Watershed</t>
  </si>
  <si>
    <t>% of Flow</t>
  </si>
  <si>
    <t>SPECIFIC</t>
  </si>
  <si>
    <t>CHROMIUM,</t>
  </si>
  <si>
    <t>SAMPLING</t>
  </si>
  <si>
    <t>TRANSPARENCY</t>
  </si>
  <si>
    <t>pH, FIELD</t>
  </si>
  <si>
    <t>CONDUCTANCE</t>
  </si>
  <si>
    <t>OXYGEN,</t>
  </si>
  <si>
    <t>ALKALINITY,</t>
  </si>
  <si>
    <t>BOD,</t>
  </si>
  <si>
    <t>COLIFORM,</t>
  </si>
  <si>
    <t>CYANIDE,</t>
  </si>
  <si>
    <t>NITROGEN,</t>
  </si>
  <si>
    <t>PHOSPHORUS</t>
  </si>
  <si>
    <t>PHOSPHORUS,</t>
  </si>
  <si>
    <t>SEDIMENT,</t>
  </si>
  <si>
    <t>ARSENIC,</t>
  </si>
  <si>
    <t>CADMIUM,</t>
  </si>
  <si>
    <t>CALCIUM,</t>
  </si>
  <si>
    <t>COPPER,</t>
  </si>
  <si>
    <t>HEXAVALENT,</t>
  </si>
  <si>
    <t>TRIVALENT</t>
  </si>
  <si>
    <t>IRON,</t>
  </si>
  <si>
    <t>LEAD,</t>
  </si>
  <si>
    <t>MAGNESIUM,</t>
  </si>
  <si>
    <t>MANGANESE,</t>
  </si>
  <si>
    <t>MERCURY,</t>
  </si>
  <si>
    <t>NICKEL,</t>
  </si>
  <si>
    <t>SELENIUM,</t>
  </si>
  <si>
    <t>SILVER,</t>
  </si>
  <si>
    <t>ZINC,</t>
  </si>
  <si>
    <t>DEPTH</t>
  </si>
  <si>
    <t>TOTAL DEPTH</t>
  </si>
  <si>
    <t>SECCHI DISK</t>
  </si>
  <si>
    <t>(STANDARD</t>
  </si>
  <si>
    <t>FIELD</t>
  </si>
  <si>
    <t>TURBIDITY</t>
  </si>
  <si>
    <t>DISSOLVED</t>
  </si>
  <si>
    <t>TEMPERATURE</t>
  </si>
  <si>
    <t xml:space="preserve">5-DAY </t>
  </si>
  <si>
    <t>CHLOROPHYLL_a</t>
  </si>
  <si>
    <t>FECAL</t>
  </si>
  <si>
    <t>WAD</t>
  </si>
  <si>
    <t>ORTHO, TOTAL</t>
  </si>
  <si>
    <t>DATE</t>
  </si>
  <si>
    <t>UNITS)</t>
  </si>
  <si>
    <t>(US/CM)</t>
  </si>
  <si>
    <r>
      <t>(mg/M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</si>
  <si>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>(gm/M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</si>
  <si>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t>3)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</si>
  <si>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</si>
  <si>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</si>
  <si>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</si>
  <si>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</si>
  <si>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</si>
  <si>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</si>
  <si>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</si>
  <si>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</si>
  <si>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</si>
  <si>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</si>
  <si>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</si>
  <si>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</si>
  <si>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month</t>
  </si>
  <si>
    <t>INSTANTANEOUS</t>
  </si>
  <si>
    <t>NITRATE/</t>
  </si>
  <si>
    <t>MANGANESE</t>
  </si>
  <si>
    <t>STREAMFLOW</t>
  </si>
  <si>
    <t>NITRATE</t>
  </si>
  <si>
    <t>NITRITE</t>
  </si>
  <si>
    <t>AMMONIA</t>
  </si>
  <si>
    <r>
      <t xml:space="preserve">(CFS) </t>
    </r>
    <r>
      <rPr>
        <vertAlign val="superscript"/>
        <sz val="8"/>
        <rFont val="Tms Rmn"/>
        <family val="1"/>
      </rPr>
      <t xml:space="preserve">1) </t>
    </r>
  </si>
  <si>
    <t>(STD. UNITS)</t>
  </si>
  <si>
    <t>South Platte</t>
  </si>
  <si>
    <r>
      <t xml:space="preserve">(CFS) </t>
    </r>
    <r>
      <rPr>
        <vertAlign val="superscript"/>
        <sz val="8"/>
        <rFont val="Tms Rmn"/>
        <family val="1"/>
      </rPr>
      <t>1)</t>
    </r>
  </si>
  <si>
    <t>TIME</t>
  </si>
  <si>
    <t>Plum Creek 2C</t>
  </si>
  <si>
    <t>Deer Creek</t>
  </si>
  <si>
    <t>average</t>
  </si>
  <si>
    <t>Reservoir</t>
  </si>
  <si>
    <t xml:space="preserve">Annual Average </t>
  </si>
  <si>
    <t>Plum Creek Titan Road</t>
  </si>
  <si>
    <t>Plum Creek At Reservoir</t>
  </si>
  <si>
    <t>Chatfiled Reservoir</t>
  </si>
  <si>
    <t>Total Suspended Sediments</t>
  </si>
  <si>
    <t>South Platte At Waterton</t>
  </si>
  <si>
    <t>1987-1997</t>
  </si>
  <si>
    <t>1987-1997 Average</t>
  </si>
  <si>
    <t>Total Phosphorus ug/l</t>
  </si>
  <si>
    <t>Chlorophyll-a ug/l</t>
  </si>
  <si>
    <t>17 ug/L</t>
  </si>
  <si>
    <t>Annual Average</t>
  </si>
  <si>
    <t>Total Suspended Solids</t>
  </si>
  <si>
    <t>1998 Loadings</t>
  </si>
  <si>
    <t>Retention</t>
  </si>
  <si>
    <t>1998 Total Phosphorus loading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</si>
  <si>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</si>
  <si>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</si>
  <si>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</si>
  <si>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</si>
  <si>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</si>
  <si>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</si>
  <si>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>Growing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</si>
  <si>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</si>
  <si>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</si>
  <si>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</si>
  <si>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</si>
  <si>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</si>
  <si>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</si>
  <si>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</si>
  <si>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r>
      <t>e</t>
    </r>
    <r>
      <rPr>
        <vertAlign val="superscript"/>
        <sz val="9"/>
        <rFont val="Helvetica"/>
        <family val="2"/>
      </rPr>
      <t>(0.7852[ln(hardness)]-3.490</t>
    </r>
  </si>
  <si>
    <r>
      <t>e</t>
    </r>
    <r>
      <rPr>
        <vertAlign val="superscript"/>
        <sz val="9"/>
        <rFont val="Helvetica"/>
        <family val="2"/>
      </rPr>
      <t>(1.128[ln(hardness)]-2.905</t>
    </r>
  </si>
  <si>
    <r>
      <t>e</t>
    </r>
    <r>
      <rPr>
        <vertAlign val="superscript"/>
        <sz val="9"/>
        <rFont val="Helvetica"/>
        <family val="2"/>
      </rPr>
      <t>(0.819[ln(hardness)]+1.561</t>
    </r>
  </si>
  <si>
    <r>
      <t>e</t>
    </r>
    <r>
      <rPr>
        <vertAlign val="superscript"/>
        <sz val="9"/>
        <rFont val="Helvetica"/>
        <family val="2"/>
      </rPr>
      <t>(0.819[ln(hardness)]+3.688</t>
    </r>
  </si>
  <si>
    <r>
      <t>e</t>
    </r>
    <r>
      <rPr>
        <vertAlign val="superscript"/>
        <sz val="9"/>
        <rFont val="Helvetica"/>
        <family val="2"/>
      </rPr>
      <t>(0.9422[ln(hardness)]-1.4634</t>
    </r>
  </si>
  <si>
    <r>
      <t>e</t>
    </r>
    <r>
      <rPr>
        <vertAlign val="superscript"/>
        <sz val="9"/>
        <rFont val="Helvetica"/>
        <family val="2"/>
      </rPr>
      <t>(0.8545[ln(hardness)]-1.465</t>
    </r>
  </si>
  <si>
    <r>
      <t>e</t>
    </r>
    <r>
      <rPr>
        <vertAlign val="superscript"/>
        <sz val="9"/>
        <rFont val="Helvetica"/>
        <family val="2"/>
      </rPr>
      <t>(1.6148[ln(hardness)]-2.8736</t>
    </r>
  </si>
  <si>
    <r>
      <t>e</t>
    </r>
    <r>
      <rPr>
        <vertAlign val="superscript"/>
        <sz val="9"/>
        <rFont val="Helvetica"/>
        <family val="2"/>
      </rPr>
      <t>(1.417[ln(hardness)]-5.167</t>
    </r>
  </si>
  <si>
    <r>
      <t>e</t>
    </r>
    <r>
      <rPr>
        <vertAlign val="superscript"/>
        <sz val="9"/>
        <rFont val="Helvetica"/>
        <family val="2"/>
      </rPr>
      <t>(0.76[ln(hardness)]+3.33</t>
    </r>
  </si>
  <si>
    <r>
      <t>e</t>
    </r>
    <r>
      <rPr>
        <vertAlign val="superscript"/>
        <sz val="9"/>
        <rFont val="Helvetica"/>
        <family val="2"/>
      </rPr>
      <t>(0.76[ln(hardness)]+1.06</t>
    </r>
  </si>
  <si>
    <r>
      <t>e</t>
    </r>
    <r>
      <rPr>
        <vertAlign val="superscript"/>
        <sz val="9"/>
        <rFont val="Helvetica"/>
        <family val="2"/>
      </rPr>
      <t>(1.72[ln(hardness)]-7.21</t>
    </r>
  </si>
  <si>
    <r>
      <t>e</t>
    </r>
    <r>
      <rPr>
        <vertAlign val="superscript"/>
        <sz val="9"/>
        <rFont val="Helvetica"/>
        <family val="2"/>
      </rPr>
      <t>(1.72[ln(hardness)]-9.06</t>
    </r>
  </si>
  <si>
    <r>
      <t>e</t>
    </r>
    <r>
      <rPr>
        <vertAlign val="superscript"/>
        <sz val="9"/>
        <rFont val="Helvetica"/>
        <family val="2"/>
      </rPr>
      <t>(0.8473[ln(hardness)]-0.8604</t>
    </r>
  </si>
  <si>
    <r>
      <t>e</t>
    </r>
    <r>
      <rPr>
        <vertAlign val="superscript"/>
        <sz val="9"/>
        <rFont val="Helvetica"/>
        <family val="2"/>
      </rPr>
      <t>(0.8473[ln(hardness)]+.7614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</si>
</sst>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</numFmts>
  <fonts count="62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7.5"/>
      <name val="Arial"/>
      <family val="0"/>
    </font>
    <font>
      <sz val="8"/>
      <name val="Arial"/>
      <family val="2"/>
    </font>
    <font>
      <b/>
      <sz val="17.5"/>
      <name val="Arial"/>
      <family val="0"/>
    </font>
    <font>
      <sz val="14.25"/>
      <name val="Arial"/>
      <family val="0"/>
    </font>
    <font>
      <sz val="8.5"/>
      <name val="Arial"/>
      <family val="2"/>
    </font>
    <font>
      <b/>
      <sz val="8"/>
      <name val="Arial"/>
      <family val="2"/>
    </font>
    <font>
      <sz val="9.75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11"/>
      <name val="Arial"/>
      <family val="0"/>
    </font>
    <font>
      <sz val="8.75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sz val="9.25"/>
      <name val="Arial"/>
      <family val="0"/>
    </font>
    <font>
      <b/>
      <sz val="9.5"/>
      <name val="Arial"/>
      <family val="2"/>
    </font>
    <font>
      <b/>
      <sz val="5.5"/>
      <name val="Arial"/>
      <family val="2"/>
    </font>
    <font>
      <sz val="9"/>
      <name val="Arial"/>
      <family val="2"/>
    </font>
    <font>
      <i/>
      <sz val="10"/>
      <name val="Arial"/>
      <family val="0"/>
    </font>
    <font>
      <b/>
      <sz val="12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Helvetica"/>
      <family val="2"/>
    </font>
    <font>
      <b/>
      <sz val="11.75"/>
      <name val="Arial"/>
      <family val="2"/>
    </font>
    <font>
      <b/>
      <sz val="11.5"/>
      <name val="Arial"/>
      <family val="2"/>
    </font>
    <font>
      <sz val="15"/>
      <name val="Arial"/>
      <family val="0"/>
    </font>
    <font>
      <sz val="17.25"/>
      <name val="Arial"/>
      <family val="0"/>
    </font>
    <font>
      <sz val="8"/>
      <name val="Helvetica"/>
      <family val="2"/>
    </font>
    <font>
      <sz val="6"/>
      <name val="Helvetica"/>
      <family val="2"/>
    </font>
    <font>
      <vertAlign val="superscript"/>
      <sz val="6"/>
      <name val="Helvetica"/>
      <family val="2"/>
    </font>
    <font>
      <sz val="10"/>
      <name val="Helv"/>
      <family val="0"/>
    </font>
    <font>
      <sz val="8"/>
      <name val="Helv"/>
      <family val="0"/>
    </font>
    <font>
      <sz val="12"/>
      <name val="Helv"/>
      <family val="0"/>
    </font>
    <font>
      <sz val="5.5"/>
      <name val="Arial"/>
      <family val="2"/>
    </font>
    <font>
      <b/>
      <sz val="8.75"/>
      <name val="Arial"/>
      <family val="2"/>
    </font>
    <font>
      <sz val="11.5"/>
      <name val="Arial"/>
      <family val="0"/>
    </font>
    <font>
      <sz val="12"/>
      <name val="Helvetica-Black"/>
      <family val="2"/>
    </font>
    <font>
      <b/>
      <sz val="15.75"/>
      <name val="Arial"/>
      <family val="0"/>
    </font>
    <font>
      <sz val="8"/>
      <name val="Helvetica-Black"/>
      <family val="2"/>
    </font>
    <font>
      <sz val="10.75"/>
      <name val="Arial"/>
      <family val="0"/>
    </font>
    <font>
      <b/>
      <sz val="10.5"/>
      <name val="Arial"/>
      <family val="2"/>
    </font>
    <font>
      <sz val="8"/>
      <name val="Tms Rmn"/>
      <family val="1"/>
    </font>
    <font>
      <vertAlign val="superscript"/>
      <sz val="8"/>
      <name val="Tms Rmn"/>
      <family val="1"/>
    </font>
    <font>
      <sz val="16.5"/>
      <name val="Arial"/>
      <family val="0"/>
    </font>
    <font>
      <b/>
      <sz val="10.25"/>
      <name val="Arial"/>
      <family val="0"/>
    </font>
    <font>
      <b/>
      <sz val="8"/>
      <name val="Tms Rmn"/>
      <family val="0"/>
    </font>
    <font>
      <i/>
      <sz val="8"/>
      <name val="Helvetica"/>
      <family val="2"/>
    </font>
    <font>
      <i/>
      <sz val="8"/>
      <name val="Tms Rmn"/>
      <family val="0"/>
    </font>
    <font>
      <sz val="8"/>
      <color indexed="8"/>
      <name val="Tms Rmn"/>
      <family val="0"/>
    </font>
    <font>
      <b/>
      <sz val="8"/>
      <color indexed="8"/>
      <name val="Tms Rmn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vertAlign val="superscript"/>
      <sz val="9"/>
      <name val="Helvetica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5" fontId="22" fillId="0" borderId="0" xfId="0" applyNumberFormat="1" applyFont="1" applyBorder="1" applyAlignment="1" applyProtection="1">
      <alignment horizontal="center"/>
      <protection/>
    </xf>
    <xf numFmtId="15" fontId="22" fillId="0" borderId="0" xfId="0" applyNumberFormat="1" applyFont="1" applyAlignment="1" applyProtection="1">
      <alignment horizontal="center"/>
      <protection/>
    </xf>
    <xf numFmtId="15" fontId="22" fillId="0" borderId="0" xfId="0" applyNumberFormat="1" applyFont="1" applyFill="1" applyBorder="1" applyAlignment="1" applyProtection="1">
      <alignment horizontal="center"/>
      <protection/>
    </xf>
    <xf numFmtId="15" fontId="2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15" fontId="7" fillId="0" borderId="0" xfId="0" applyNumberFormat="1" applyFont="1" applyBorder="1" applyAlignment="1" applyProtection="1">
      <alignment horizontal="center"/>
      <protection/>
    </xf>
    <xf numFmtId="15" fontId="7" fillId="0" borderId="0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15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7" fillId="0" borderId="0" xfId="0" applyNumberFormat="1" applyFont="1" applyBorder="1" applyAlignment="1" applyProtection="1">
      <alignment horizontal="center"/>
      <protection/>
    </xf>
    <xf numFmtId="167" fontId="7" fillId="0" borderId="0" xfId="0" applyNumberFormat="1" applyFont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23" fillId="0" borderId="4" xfId="0" applyFont="1" applyFill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7" fillId="0" borderId="1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171" fontId="27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0" fontId="22" fillId="0" borderId="0" xfId="0" applyNumberFormat="1" applyFont="1" applyBorder="1" applyAlignment="1" applyProtection="1">
      <alignment horizontal="center"/>
      <protection/>
    </xf>
    <xf numFmtId="170" fontId="22" fillId="0" borderId="0" xfId="0" applyNumberFormat="1" applyFont="1" applyAlignment="1" applyProtection="1">
      <alignment horizontal="center"/>
      <protection/>
    </xf>
    <xf numFmtId="170" fontId="22" fillId="0" borderId="0" xfId="0" applyNumberFormat="1" applyFont="1" applyFill="1" applyBorder="1" applyAlignment="1" applyProtection="1">
      <alignment horizontal="center"/>
      <protection/>
    </xf>
    <xf numFmtId="170" fontId="2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34" fillId="0" borderId="0" xfId="0" applyFont="1" applyAlignment="1">
      <alignment/>
    </xf>
    <xf numFmtId="0" fontId="0" fillId="3" borderId="0" xfId="0" applyFill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2" fontId="34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right"/>
      <protection/>
    </xf>
    <xf numFmtId="173" fontId="37" fillId="0" borderId="0" xfId="0" applyNumberFormat="1" applyFont="1" applyAlignment="1" applyProtection="1">
      <alignment/>
      <protection/>
    </xf>
    <xf numFmtId="1" fontId="37" fillId="0" borderId="0" xfId="0" applyNumberFormat="1" applyFont="1" applyAlignment="1" applyProtection="1">
      <alignment/>
      <protection/>
    </xf>
    <xf numFmtId="171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64" fontId="0" fillId="0" borderId="5" xfId="0" applyNumberForma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3" fontId="0" fillId="0" borderId="6" xfId="0" applyNumberForma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48" fillId="0" borderId="0" xfId="0" applyFont="1" applyFill="1" applyAlignment="1">
      <alignment/>
    </xf>
    <xf numFmtId="169" fontId="48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169" fontId="48" fillId="0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169" fontId="48" fillId="0" borderId="1" xfId="0" applyNumberFormat="1" applyFont="1" applyFill="1" applyBorder="1" applyAlignment="1">
      <alignment horizontal="center"/>
    </xf>
    <xf numFmtId="0" fontId="48" fillId="0" borderId="1" xfId="0" applyNumberFormat="1" applyFont="1" applyFill="1" applyBorder="1" applyAlignment="1">
      <alignment horizontal="center"/>
    </xf>
    <xf numFmtId="171" fontId="48" fillId="0" borderId="1" xfId="0" applyNumberFormat="1" applyFont="1" applyFill="1" applyBorder="1" applyAlignment="1" applyProtection="1">
      <alignment horizontal="center"/>
      <protection/>
    </xf>
    <xf numFmtId="169" fontId="48" fillId="0" borderId="0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Continuous"/>
    </xf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Continuous"/>
    </xf>
    <xf numFmtId="171" fontId="48" fillId="0" borderId="1" xfId="0" applyNumberFormat="1" applyFont="1" applyBorder="1" applyAlignment="1" applyProtection="1">
      <alignment horizontal="center"/>
      <protection/>
    </xf>
    <xf numFmtId="171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168" fontId="48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" fillId="0" borderId="6" xfId="0" applyFont="1" applyBorder="1" applyAlignment="1">
      <alignment horizontal="left"/>
    </xf>
    <xf numFmtId="0" fontId="1" fillId="5" borderId="6" xfId="0" applyFont="1" applyFill="1" applyBorder="1" applyAlignment="1">
      <alignment/>
    </xf>
    <xf numFmtId="0" fontId="2" fillId="0" borderId="6" xfId="0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2" fillId="5" borderId="6" xfId="0" applyFont="1" applyFill="1" applyBorder="1" applyAlignment="1">
      <alignment/>
    </xf>
    <xf numFmtId="3" fontId="2" fillId="5" borderId="6" xfId="0" applyNumberFormat="1" applyFont="1" applyFill="1" applyBorder="1" applyAlignment="1">
      <alignment horizontal="right"/>
    </xf>
    <xf numFmtId="3" fontId="1" fillId="5" borderId="6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15" fontId="48" fillId="0" borderId="0" xfId="0" applyNumberFormat="1" applyFont="1" applyFill="1" applyAlignment="1">
      <alignment horizontal="center"/>
    </xf>
    <xf numFmtId="20" fontId="48" fillId="0" borderId="0" xfId="0" applyNumberFormat="1" applyFont="1" applyFill="1" applyAlignment="1">
      <alignment horizontal="center"/>
    </xf>
    <xf numFmtId="169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15" fontId="48" fillId="0" borderId="7" xfId="0" applyNumberFormat="1" applyFont="1" applyFill="1" applyBorder="1" applyAlignment="1">
      <alignment horizontal="center"/>
    </xf>
    <xf numFmtId="20" fontId="48" fillId="0" borderId="7" xfId="0" applyNumberFormat="1" applyFont="1" applyFill="1" applyBorder="1" applyAlignment="1">
      <alignment horizontal="center"/>
    </xf>
    <xf numFmtId="169" fontId="48" fillId="0" borderId="7" xfId="0" applyNumberFormat="1" applyFont="1" applyFill="1" applyBorder="1" applyAlignment="1">
      <alignment horizontal="center"/>
    </xf>
    <xf numFmtId="0" fontId="48" fillId="0" borderId="7" xfId="0" applyNumberFormat="1" applyFont="1" applyFill="1" applyBorder="1" applyAlignment="1">
      <alignment horizontal="center"/>
    </xf>
    <xf numFmtId="0" fontId="48" fillId="0" borderId="7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15" fontId="34" fillId="0" borderId="0" xfId="0" applyNumberFormat="1" applyFont="1" applyFill="1" applyBorder="1" applyAlignment="1">
      <alignment horizontal="left"/>
    </xf>
    <xf numFmtId="20" fontId="34" fillId="0" borderId="0" xfId="0" applyNumberFormat="1" applyFont="1" applyFill="1" applyBorder="1" applyAlignment="1">
      <alignment horizontal="center"/>
    </xf>
    <xf numFmtId="169" fontId="52" fillId="0" borderId="0" xfId="0" applyNumberFormat="1" applyFont="1" applyFill="1" applyBorder="1" applyAlignment="1">
      <alignment horizontal="center"/>
    </xf>
    <xf numFmtId="168" fontId="52" fillId="0" borderId="0" xfId="0" applyNumberFormat="1" applyFont="1" applyFill="1" applyBorder="1" applyAlignment="1">
      <alignment horizontal="center"/>
    </xf>
    <xf numFmtId="15" fontId="34" fillId="0" borderId="0" xfId="0" applyNumberFormat="1" applyFont="1" applyFill="1" applyAlignment="1">
      <alignment horizontal="left"/>
    </xf>
    <xf numFmtId="20" fontId="3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/>
    </xf>
    <xf numFmtId="15" fontId="34" fillId="0" borderId="7" xfId="0" applyNumberFormat="1" applyFont="1" applyFill="1" applyBorder="1" applyAlignment="1">
      <alignment horizontal="left"/>
    </xf>
    <xf numFmtId="20" fontId="34" fillId="0" borderId="7" xfId="0" applyNumberFormat="1" applyFont="1" applyFill="1" applyBorder="1" applyAlignment="1">
      <alignment horizontal="center"/>
    </xf>
    <xf numFmtId="168" fontId="48" fillId="0" borderId="7" xfId="0" applyNumberFormat="1" applyFont="1" applyFill="1" applyBorder="1" applyAlignment="1">
      <alignment horizontal="center"/>
    </xf>
    <xf numFmtId="168" fontId="48" fillId="0" borderId="7" xfId="0" applyNumberFormat="1" applyFont="1" applyFill="1" applyBorder="1" applyAlignment="1">
      <alignment/>
    </xf>
    <xf numFmtId="169" fontId="48" fillId="0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68" fontId="48" fillId="0" borderId="0" xfId="0" applyNumberFormat="1" applyFont="1" applyFill="1" applyBorder="1" applyAlignment="1">
      <alignment horizontal="center"/>
    </xf>
    <xf numFmtId="168" fontId="48" fillId="0" borderId="0" xfId="0" applyNumberFormat="1" applyFont="1" applyFill="1" applyBorder="1" applyAlignment="1">
      <alignment/>
    </xf>
    <xf numFmtId="15" fontId="53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169" fontId="54" fillId="0" borderId="0" xfId="0" applyNumberFormat="1" applyFont="1" applyFill="1" applyBorder="1" applyAlignment="1">
      <alignment horizontal="center"/>
    </xf>
    <xf numFmtId="14" fontId="48" fillId="0" borderId="0" xfId="0" applyNumberFormat="1" applyFont="1" applyFill="1" applyAlignment="1">
      <alignment horizontal="center"/>
    </xf>
    <xf numFmtId="14" fontId="48" fillId="0" borderId="7" xfId="0" applyNumberFormat="1" applyFont="1" applyFill="1" applyBorder="1" applyAlignment="1">
      <alignment horizontal="center"/>
    </xf>
    <xf numFmtId="22" fontId="48" fillId="0" borderId="0" xfId="0" applyNumberFormat="1" applyFont="1" applyFill="1" applyAlignment="1">
      <alignment horizontal="center"/>
    </xf>
    <xf numFmtId="22" fontId="48" fillId="0" borderId="7" xfId="0" applyNumberFormat="1" applyFont="1" applyFill="1" applyBorder="1" applyAlignment="1">
      <alignment horizontal="center"/>
    </xf>
    <xf numFmtId="168" fontId="55" fillId="0" borderId="0" xfId="0" applyNumberFormat="1" applyFont="1" applyFill="1" applyAlignment="1">
      <alignment horizontal="center"/>
    </xf>
    <xf numFmtId="168" fontId="56" fillId="0" borderId="0" xfId="0" applyNumberFormat="1" applyFont="1" applyFill="1" applyAlignment="1">
      <alignment horizontal="center"/>
    </xf>
    <xf numFmtId="169" fontId="49" fillId="0" borderId="0" xfId="0" applyNumberFormat="1" applyFont="1" applyFill="1" applyAlignment="1">
      <alignment horizontal="center"/>
    </xf>
    <xf numFmtId="169" fontId="49" fillId="0" borderId="7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/>
    </xf>
    <xf numFmtId="169" fontId="34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/>
    </xf>
    <xf numFmtId="168" fontId="34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 horizontal="center"/>
    </xf>
    <xf numFmtId="164" fontId="48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2" fontId="48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 horizontal="center"/>
    </xf>
    <xf numFmtId="16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9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9" fontId="34" fillId="0" borderId="0" xfId="0" applyNumberFormat="1" applyFont="1" applyFill="1" applyAlignment="1">
      <alignment horizontal="center"/>
    </xf>
    <xf numFmtId="15" fontId="48" fillId="0" borderId="0" xfId="0" applyNumberFormat="1" applyFont="1" applyAlignment="1">
      <alignment horizontal="center"/>
    </xf>
    <xf numFmtId="20" fontId="48" fillId="0" borderId="0" xfId="0" applyNumberFormat="1" applyFont="1" applyAlignment="1">
      <alignment horizontal="center"/>
    </xf>
    <xf numFmtId="169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7" fillId="0" borderId="6" xfId="0" applyFont="1" applyBorder="1" applyAlignment="1">
      <alignment/>
    </xf>
    <xf numFmtId="0" fontId="11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169" fontId="48" fillId="0" borderId="6" xfId="0" applyNumberFormat="1" applyFont="1" applyBorder="1" applyAlignment="1">
      <alignment horizontal="center"/>
    </xf>
    <xf numFmtId="1" fontId="48" fillId="0" borderId="6" xfId="0" applyNumberFormat="1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5" borderId="6" xfId="0" applyFont="1" applyFill="1" applyBorder="1" applyAlignment="1">
      <alignment horizontal="left"/>
    </xf>
    <xf numFmtId="1" fontId="7" fillId="5" borderId="6" xfId="0" applyNumberFormat="1" applyFont="1" applyFill="1" applyBorder="1" applyAlignment="1">
      <alignment horizontal="center"/>
    </xf>
    <xf numFmtId="0" fontId="34" fillId="0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170" fontId="57" fillId="0" borderId="0" xfId="0" applyNumberFormat="1" applyFont="1" applyFill="1" applyAlignment="1">
      <alignment/>
    </xf>
    <xf numFmtId="2" fontId="57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2" fontId="57" fillId="0" borderId="0" xfId="0" applyNumberFormat="1" applyFont="1" applyFill="1" applyAlignment="1">
      <alignment/>
    </xf>
    <xf numFmtId="0" fontId="57" fillId="3" borderId="0" xfId="0" applyFont="1" applyFill="1" applyAlignment="1">
      <alignment/>
    </xf>
    <xf numFmtId="167" fontId="22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>
      <alignment/>
    </xf>
    <xf numFmtId="167" fontId="22" fillId="0" borderId="0" xfId="0" applyNumberFormat="1" applyFont="1" applyAlignment="1" applyProtection="1">
      <alignment horizontal="center"/>
      <protection/>
    </xf>
    <xf numFmtId="167" fontId="22" fillId="0" borderId="0" xfId="0" applyNumberFormat="1" applyFont="1" applyFill="1" applyBorder="1" applyAlignment="1" applyProtection="1">
      <alignment horizontal="center"/>
      <protection/>
    </xf>
    <xf numFmtId="15" fontId="22" fillId="0" borderId="8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169" fontId="57" fillId="0" borderId="0" xfId="0" applyNumberFormat="1" applyFont="1" applyAlignment="1">
      <alignment/>
    </xf>
    <xf numFmtId="169" fontId="57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0" fontId="57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2" fontId="58" fillId="0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34" fillId="0" borderId="0" xfId="0" applyFont="1" applyFill="1" applyAlignment="1">
      <alignment/>
    </xf>
    <xf numFmtId="164" fontId="1" fillId="0" borderId="0" xfId="0" applyNumberFormat="1" applyFont="1" applyAlignment="1">
      <alignment horizontal="center"/>
    </xf>
    <xf numFmtId="164" fontId="1" fillId="5" borderId="6" xfId="0" applyNumberFormat="1" applyFont="1" applyFill="1" applyBorder="1" applyAlignment="1">
      <alignment horizontal="center" wrapText="1"/>
    </xf>
    <xf numFmtId="1" fontId="1" fillId="5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wrapText="1"/>
    </xf>
    <xf numFmtId="0" fontId="0" fillId="5" borderId="6" xfId="0" applyFill="1" applyBorder="1" applyAlignment="1">
      <alignment wrapText="1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1998 Chatfield Inflows 
Nitrate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8"/>
          <c:w val="0.87125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'River-Res data'!$B$132:$B$149</c:f>
              <c:strCache/>
            </c:strRef>
          </c:cat>
          <c:val>
            <c:numRef>
              <c:f>'River-Res data'!$N$132:$N$149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'River-Res data'!$N$156:$N$173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8159471"/>
        <c:axId val="29217512"/>
      </c:line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17512"/>
        <c:crosses val="autoZero"/>
        <c:auto val="1"/>
        <c:lblOffset val="100"/>
        <c:noMultiLvlLbl val="0"/>
      </c:catAx>
      <c:valAx>
        <c:axId val="292175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5947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545"/>
          <c:y val="0.9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Figure 5(b)
Walker's Seasonal TSI Values Chatfield Reservoir 1998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979"/>
          <c:h val="0.731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'Walker-carlson'!$N$16:$U$16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'Walker-carlson'!$N$26:$U$26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marker val="1"/>
        <c:axId val="44643449"/>
        <c:axId val="66246722"/>
      </c:line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246722"/>
        <c:crosses val="autoZero"/>
        <c:auto val="1"/>
        <c:lblOffset val="100"/>
        <c:noMultiLvlLbl val="0"/>
      </c:catAx>
      <c:valAx>
        <c:axId val="6624672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643449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Carlson's Seasonal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5"/>
          <c:w val="0.96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'Walker-carlson'!$C$28:$J$28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'Walker-carlson'!$C$30:$J$30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'Walker-carlson'!$C$33:$J$33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val>
            <c:numRef>
              <c:f>'Walker-carlson'!$C$36:$J$36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marker val="1"/>
        <c:axId val="59349587"/>
        <c:axId val="64384236"/>
      </c:line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384236"/>
        <c:crosses val="autoZero"/>
        <c:auto val="1"/>
        <c:lblOffset val="100"/>
        <c:noMultiLvlLbl val="0"/>
      </c:catAx>
      <c:valAx>
        <c:axId val="6438423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349587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8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1998 Chatfield Reservoir 
Average Chlorophyll-a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2"/>
          <c:w val="0.878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42587213"/>
        <c:axId val="47740598"/>
      </c:lineChart>
      <c:catAx>
        <c:axId val="425872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740598"/>
        <c:crosses val="autoZero"/>
        <c:auto val="1"/>
        <c:lblOffset val="100"/>
        <c:noMultiLvlLbl val="0"/>
      </c:catAx>
      <c:valAx>
        <c:axId val="4774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5872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Chatfield Reservoir
 Total Phosphorus vs. Chlorophyll-a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4675"/>
          <c:w val="0.838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'Res trends'!$B$20:$B$35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7012199"/>
        <c:axId val="41783200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trends'!$C$20:$C$35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axId val="40504481"/>
        <c:axId val="28996010"/>
      </c:line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783200"/>
        <c:crosses val="autoZero"/>
        <c:auto val="0"/>
        <c:lblOffset val="100"/>
        <c:noMultiLvlLbl val="0"/>
      </c:catAx>
      <c:valAx>
        <c:axId val="4178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12199"/>
        <c:crossesAt val="1"/>
        <c:crossBetween val="between"/>
        <c:dispUnits/>
      </c:valAx>
      <c:catAx>
        <c:axId val="40504481"/>
        <c:scaling>
          <c:orientation val="minMax"/>
        </c:scaling>
        <c:axPos val="b"/>
        <c:delete val="1"/>
        <c:majorTickMark val="in"/>
        <c:minorTickMark val="none"/>
        <c:tickLblPos val="nextTo"/>
        <c:crossAx val="28996010"/>
        <c:crosses val="autoZero"/>
        <c:auto val="0"/>
        <c:lblOffset val="100"/>
        <c:noMultiLvlLbl val="0"/>
      </c:catAx>
      <c:valAx>
        <c:axId val="2899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04481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4025"/>
          <c:y val="0.91125"/>
          <c:w val="0.4812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 
Chlorphyll &amp; Phosphorus Power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3"/>
          <c:w val="0.90775"/>
          <c:h val="0.6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0"/>
            <c:dispRSqr val="0"/>
          </c:trendline>
          <c:xVal>
            <c:numRef>
              <c:f>'Res trends'!$D$38:$D$53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'Res trends'!$E$38:$E$53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59637499"/>
        <c:axId val="66975444"/>
      </c:scatterChart>
      <c:valAx>
        <c:axId val="5963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75444"/>
        <c:crosses val="autoZero"/>
        <c:crossBetween val="midCat"/>
        <c:dispUnits/>
      </c:valAx>
      <c:valAx>
        <c:axId val="6697544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37499"/>
        <c:crosses val="autoZero"/>
        <c:crossBetween val="midCat"/>
        <c:dispUnits/>
        <c:majorUnit val="0.1"/>
        <c:minorUnit val="0.0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1998 </a:t>
            </a:r>
            <a:r>
              <a:rPr lang="en-US" cap="none" sz="1050" b="1" i="0" u="none" baseline="0"/>
              <a:t>Chatfield Reservoir 
Secchi Depth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62"/>
          <c:w val="0.871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Secchi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65908085"/>
        <c:axId val="56301854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908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125"/>
          <c:w val="0.9387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/>
            </c:numRef>
          </c:val>
        </c:ser>
        <c:axId val="36954639"/>
        <c:axId val="64156296"/>
      </c:bar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54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75"/>
          <c:w val="0.368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1998 Chatfield Reservoir
Total Phosphorus Loading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965"/>
          <c:w val="0.882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40535753"/>
        <c:axId val="29277458"/>
      </c:bar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277458"/>
        <c:crosses val="autoZero"/>
        <c:auto val="1"/>
        <c:lblOffset val="100"/>
        <c:noMultiLvlLbl val="0"/>
      </c:catAx>
      <c:valAx>
        <c:axId val="29277458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TP (lbs/month)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53575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615"/>
          <c:y val="0.9355"/>
          <c:w val="0.38625"/>
          <c:h val="0.0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
TSS Loading</a:t>
            </a:r>
          </a:p>
        </c:rich>
      </c:tx>
      <c:layout>
        <c:manualLayout>
          <c:xMode val="factor"/>
          <c:yMode val="factor"/>
          <c:x val="0.28075"/>
          <c:y val="0.1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9"/>
          <c:w val="0.931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Loading!$B$75:$B$86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Loading!$C$75:$C$86</c:f>
              <c:numCache/>
            </c:numRef>
          </c:val>
        </c:ser>
        <c:axId val="62170531"/>
        <c:axId val="22663868"/>
      </c:bar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63868"/>
        <c:crosses val="autoZero"/>
        <c:auto val="1"/>
        <c:lblOffset val="100"/>
        <c:noMultiLvlLbl val="0"/>
      </c:catAx>
      <c:valAx>
        <c:axId val="2266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lbs/day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17053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98"/>
          <c:w val="0.2162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TMAL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5"/>
          <c:w val="0.88225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v>TMAL Target Line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Models!$C$24:$C$30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Models!$D$24:$D$30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648221"/>
        <c:axId val="23833990"/>
      </c:scatterChart>
      <c:valAx>
        <c:axId val="2648221"/>
        <c:scaling>
          <c:orientation val="minMax"/>
          <c:max val="4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833990"/>
        <c:crosses val="autoZero"/>
        <c:crossBetween val="midCat"/>
        <c:dispUnits/>
        <c:majorUnit val="50000"/>
        <c:minorUnit val="5000"/>
      </c:valAx>
      <c:valAx>
        <c:axId val="23833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Total Phosphorus - Annual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48221"/>
        <c:crosses val="autoZero"/>
        <c:crossBetween val="midCat"/>
        <c:dispUnits/>
        <c:majorUnit val="25000"/>
        <c:minorUnit val="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Reservoir 
Average Nitrate Concentrations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2205"/>
          <c:w val="0.838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data'!$B$72:$B$125</c:f>
              <c:strCache/>
            </c:strRef>
          </c:cat>
          <c:val>
            <c:numRef>
              <c:f>'River-Res data'!$P$72:$P$125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631017"/>
        <c:axId val="17808242"/>
      </c:bar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8242"/>
        <c:crosses val="autoZero"/>
        <c:auto val="1"/>
        <c:lblOffset val="100"/>
        <c:noMultiLvlLbl val="0"/>
      </c:catAx>
      <c:valAx>
        <c:axId val="17808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16310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July 1997 
Phytoplankton</a:t>
            </a:r>
          </a:p>
        </c:rich>
      </c:tx>
      <c:layout>
        <c:manualLayout>
          <c:xMode val="factor"/>
          <c:yMode val="factor"/>
          <c:x val="0.34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55"/>
          <c:h val="0.9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5">
                <a:fgClr>
                  <a:srgbClr val="FFCC99"/>
                </a:fgClr>
                <a:bgClr>
                  <a:srgbClr val="C0C0C0"/>
                </a:bgClr>
              </a:pattFill>
            </c:spPr>
          </c:dPt>
          <c:dPt>
            <c:idx val="6"/>
            <c:spPr>
              <a:pattFill prst="pct25">
                <a:fgClr>
                  <a:srgbClr val="000080"/>
                </a:fgClr>
                <a:bgClr>
                  <a:srgbClr val="C0C0C0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Phytoplank!$G$2:$G$8</c:f>
              <c:strCache/>
            </c:strRef>
          </c:cat>
          <c:val>
            <c:numRef>
              <c:f>Phytoplank!$H$2:$H$8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2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August 1997 
Phytoplankton</a:t>
            </a:r>
          </a:p>
        </c:rich>
      </c:tx>
      <c:layout>
        <c:manualLayout>
          <c:xMode val="factor"/>
          <c:yMode val="factor"/>
          <c:x val="0.34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67225"/>
          <c:h val="0.9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C0C0C0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Phytoplank!$G$2:$G$8</c:f>
              <c:strCache/>
            </c:strRef>
          </c:cat>
          <c:val>
            <c:numRef>
              <c:f>(Phytoplank!$I$2:$I$4,Phytoplank!$I$7)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47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September 1997 
Phytoplankton</a:t>
            </a:r>
          </a:p>
        </c:rich>
      </c:tx>
      <c:layout>
        <c:manualLayout>
          <c:xMode val="factor"/>
          <c:yMode val="factor"/>
          <c:x val="0.31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075"/>
          <c:w val="0.66475"/>
          <c:h val="0.90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C0C0C0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Phytoplank!$G$2:$G$6</c:f>
              <c:strCache/>
            </c:strRef>
          </c:cat>
          <c:val>
            <c:numRef>
              <c:f>(Phytoplank!$J$2:$J$4,Phytoplank!$J$6)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58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1998 Chatfield Inflows 
Total Phosphorus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9175"/>
          <c:w val="0.91725"/>
          <c:h val="0.67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data'!$T$132:$T$149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data'!$T$156:$T$173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26056451"/>
        <c:axId val="33181468"/>
      </c:line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3181468"/>
        <c:crosses val="autoZero"/>
        <c:auto val="1"/>
        <c:lblOffset val="100"/>
        <c:noMultiLvlLbl val="0"/>
      </c:catAx>
      <c:valAx>
        <c:axId val="3318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05645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6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Reservoir 
Average Total Phosphorus Concentration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26725"/>
          <c:w val="0.846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data'!$B$72:$B$125</c:f>
              <c:strCache/>
            </c:strRef>
          </c:cat>
          <c:val>
            <c:numRef>
              <c:f>'River-Res data'!$R$72:$R$125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197757"/>
        <c:axId val="3344358"/>
      </c:bar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4358"/>
        <c:crosses val="autoZero"/>
        <c:auto val="1"/>
        <c:lblOffset val="100"/>
        <c:noMultiLvlLbl val="0"/>
      </c:catAx>
      <c:valAx>
        <c:axId val="3344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01977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Inflows 
Ammonia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9775"/>
          <c:w val="0.88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data'!$Q$132:$Q$149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'River-Res data'!$Q$156:$Q$173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099223"/>
        <c:axId val="2457552"/>
      </c:line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7552"/>
        <c:crosses val="autoZero"/>
        <c:auto val="1"/>
        <c:lblOffset val="100"/>
        <c:noMultiLvlLbl val="0"/>
      </c:catAx>
      <c:valAx>
        <c:axId val="245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NH3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09922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725"/>
          <c:y val="0.8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1998 Chatfield Inflows 
TSS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685"/>
          <c:w val="0.879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data'!$U$132:$U$149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data'!$U$156:$U$173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117969"/>
        <c:axId val="64843994"/>
      </c:line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43994"/>
        <c:crosses val="autoZero"/>
        <c:auto val="1"/>
        <c:lblOffset val="100"/>
        <c:noMultiLvlLbl val="0"/>
      </c:catAx>
      <c:valAx>
        <c:axId val="6484399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1796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3155"/>
          <c:y val="0.9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Reservoir 
Total Suspended Sediment Concentrations</a:t>
            </a:r>
          </a:p>
        </c:rich>
      </c:tx>
      <c:layout>
        <c:manualLayout>
          <c:xMode val="factor"/>
          <c:yMode val="factor"/>
          <c:x val="-0.011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21075"/>
          <c:w val="0.862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'River-Res data'!$A$50:$A$60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'River-Res data'!$S$72:$S$125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725035"/>
        <c:axId val="17872132"/>
      </c:bar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67250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1998 Chatfield Reservoir 
Specific Conductance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2095"/>
          <c:w val="0.849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data'!$G$65:$G$66</c:f>
              <c:strCache>
                <c:ptCount val="1"/>
                <c:pt idx="0">
                  <c:v>SPECIFIC CONDUCTANCE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data'!$B$72:$B$125</c:f>
              <c:strCache/>
            </c:strRef>
          </c:cat>
          <c:val>
            <c:numRef>
              <c:f>'River-Res data'!$G$72:$G$125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631461"/>
        <c:axId val="38356558"/>
      </c:bar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Conducatnce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1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5(a)
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5375"/>
          <c:w val="0.9295"/>
          <c:h val="0.74875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'Walker-carlson'!$M$2:$U$2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'Walker-carlson'!$M$12:$U$12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9664703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495300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33432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</xdr:row>
      <xdr:rowOff>19050</xdr:rowOff>
    </xdr:from>
    <xdr:to>
      <xdr:col>8</xdr:col>
      <xdr:colOff>571500</xdr:colOff>
      <xdr:row>12</xdr:row>
      <xdr:rowOff>76200</xdr:rowOff>
    </xdr:to>
    <xdr:graphicFrame>
      <xdr:nvGraphicFramePr>
        <xdr:cNvPr id="2" name="Chart 3"/>
        <xdr:cNvGraphicFramePr/>
      </xdr:nvGraphicFramePr>
      <xdr:xfrm>
        <a:off x="3895725" y="180975"/>
        <a:ext cx="259080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4</xdr:col>
      <xdr:colOff>771525</xdr:colOff>
      <xdr:row>30</xdr:row>
      <xdr:rowOff>95250</xdr:rowOff>
    </xdr:to>
    <xdr:graphicFrame>
      <xdr:nvGraphicFramePr>
        <xdr:cNvPr id="3" name="Chart 4"/>
        <xdr:cNvGraphicFramePr/>
      </xdr:nvGraphicFramePr>
      <xdr:xfrm>
        <a:off x="28575" y="2619375"/>
        <a:ext cx="36385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17</xdr:row>
      <xdr:rowOff>152400</xdr:rowOff>
    </xdr:from>
    <xdr:to>
      <xdr:col>8</xdr:col>
      <xdr:colOff>542925</xdr:colOff>
      <xdr:row>30</xdr:row>
      <xdr:rowOff>104775</xdr:rowOff>
    </xdr:to>
    <xdr:graphicFrame>
      <xdr:nvGraphicFramePr>
        <xdr:cNvPr id="4" name="Chart 5"/>
        <xdr:cNvGraphicFramePr/>
      </xdr:nvGraphicFramePr>
      <xdr:xfrm>
        <a:off x="3733800" y="2905125"/>
        <a:ext cx="272415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762000</xdr:colOff>
      <xdr:row>42</xdr:row>
      <xdr:rowOff>114300</xdr:rowOff>
    </xdr:to>
    <xdr:graphicFrame>
      <xdr:nvGraphicFramePr>
        <xdr:cNvPr id="5" name="Chart 6"/>
        <xdr:cNvGraphicFramePr/>
      </xdr:nvGraphicFramePr>
      <xdr:xfrm>
        <a:off x="171450" y="5200650"/>
        <a:ext cx="3486150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47</xdr:row>
      <xdr:rowOff>76200</xdr:rowOff>
    </xdr:from>
    <xdr:to>
      <xdr:col>4</xdr:col>
      <xdr:colOff>762000</xdr:colOff>
      <xdr:row>61</xdr:row>
      <xdr:rowOff>0</xdr:rowOff>
    </xdr:to>
    <xdr:graphicFrame>
      <xdr:nvGraphicFramePr>
        <xdr:cNvPr id="6" name="Chart 7"/>
        <xdr:cNvGraphicFramePr/>
      </xdr:nvGraphicFramePr>
      <xdr:xfrm>
        <a:off x="190500" y="7686675"/>
        <a:ext cx="346710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32</xdr:row>
      <xdr:rowOff>28575</xdr:rowOff>
    </xdr:from>
    <xdr:to>
      <xdr:col>8</xdr:col>
      <xdr:colOff>361950</xdr:colOff>
      <xdr:row>42</xdr:row>
      <xdr:rowOff>123825</xdr:rowOff>
    </xdr:to>
    <xdr:graphicFrame>
      <xdr:nvGraphicFramePr>
        <xdr:cNvPr id="7" name="Chart 8"/>
        <xdr:cNvGraphicFramePr/>
      </xdr:nvGraphicFramePr>
      <xdr:xfrm>
        <a:off x="3667125" y="5210175"/>
        <a:ext cx="260985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76200</xdr:colOff>
      <xdr:row>47</xdr:row>
      <xdr:rowOff>85725</xdr:rowOff>
    </xdr:from>
    <xdr:to>
      <xdr:col>8</xdr:col>
      <xdr:colOff>561975</xdr:colOff>
      <xdr:row>60</xdr:row>
      <xdr:rowOff>76200</xdr:rowOff>
    </xdr:to>
    <xdr:graphicFrame>
      <xdr:nvGraphicFramePr>
        <xdr:cNvPr id="8" name="Chart 10"/>
        <xdr:cNvGraphicFramePr/>
      </xdr:nvGraphicFramePr>
      <xdr:xfrm>
        <a:off x="3743325" y="7696200"/>
        <a:ext cx="27336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37</xdr:row>
      <xdr:rowOff>38100</xdr:rowOff>
    </xdr:from>
    <xdr:to>
      <xdr:col>21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8524875" y="6029325"/>
        <a:ext cx="46386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51</xdr:row>
      <xdr:rowOff>19050</xdr:rowOff>
    </xdr:from>
    <xdr:to>
      <xdr:col>21</xdr:col>
      <xdr:colOff>352425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8534400" y="8277225"/>
        <a:ext cx="4619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49</xdr:row>
      <xdr:rowOff>142875</xdr:rowOff>
    </xdr:from>
    <xdr:to>
      <xdr:col>9</xdr:col>
      <xdr:colOff>28575</xdr:colOff>
      <xdr:row>64</xdr:row>
      <xdr:rowOff>142875</xdr:rowOff>
    </xdr:to>
    <xdr:graphicFrame>
      <xdr:nvGraphicFramePr>
        <xdr:cNvPr id="3" name="Chart 4"/>
        <xdr:cNvGraphicFramePr/>
      </xdr:nvGraphicFramePr>
      <xdr:xfrm>
        <a:off x="657225" y="8077200"/>
        <a:ext cx="4857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257550" y="142875"/>
        <a:ext cx="3448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133350</xdr:rowOff>
    </xdr:from>
    <xdr:to>
      <xdr:col>10</xdr:col>
      <xdr:colOff>600075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3267075" y="2724150"/>
        <a:ext cx="36290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457200</xdr:colOff>
      <xdr:row>16</xdr:row>
      <xdr:rowOff>19050</xdr:rowOff>
    </xdr:from>
    <xdr:to>
      <xdr:col>17</xdr:col>
      <xdr:colOff>247650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7362825" y="2609850"/>
        <a:ext cx="34480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304800</xdr:colOff>
      <xdr:row>0</xdr:row>
      <xdr:rowOff>152400</xdr:rowOff>
    </xdr:from>
    <xdr:to>
      <xdr:col>17</xdr:col>
      <xdr:colOff>504825</xdr:colOff>
      <xdr:row>14</xdr:row>
      <xdr:rowOff>142875</xdr:rowOff>
    </xdr:to>
    <xdr:graphicFrame>
      <xdr:nvGraphicFramePr>
        <xdr:cNvPr id="4" name="Chart 5"/>
        <xdr:cNvGraphicFramePr/>
      </xdr:nvGraphicFramePr>
      <xdr:xfrm>
        <a:off x="7210425" y="152400"/>
        <a:ext cx="38576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495300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43175"/>
        <a:ext cx="5229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52</xdr:row>
      <xdr:rowOff>28575</xdr:rowOff>
    </xdr:from>
    <xdr:to>
      <xdr:col>6</xdr:col>
      <xdr:colOff>438150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590550" y="8448675"/>
        <a:ext cx="48958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1000125</xdr:colOff>
      <xdr:row>87</xdr:row>
      <xdr:rowOff>133350</xdr:rowOff>
    </xdr:from>
    <xdr:to>
      <xdr:col>6</xdr:col>
      <xdr:colOff>752475</xdr:colOff>
      <xdr:row>97</xdr:row>
      <xdr:rowOff>95250</xdr:rowOff>
    </xdr:to>
    <xdr:graphicFrame>
      <xdr:nvGraphicFramePr>
        <xdr:cNvPr id="3" name="Chart 4"/>
        <xdr:cNvGraphicFramePr/>
      </xdr:nvGraphicFramePr>
      <xdr:xfrm>
        <a:off x="1000125" y="14192250"/>
        <a:ext cx="48006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30</xdr:row>
      <xdr:rowOff>0</xdr:rowOff>
    </xdr:from>
    <xdr:to>
      <xdr:col>8</xdr:col>
      <xdr:colOff>9525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495425" y="4857750"/>
        <a:ext cx="5886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142875</xdr:rowOff>
    </xdr:from>
    <xdr:to>
      <xdr:col>11</xdr:col>
      <xdr:colOff>133350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5286375" y="1600200"/>
        <a:ext cx="36671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0</xdr:rowOff>
    </xdr:from>
    <xdr:to>
      <xdr:col>11</xdr:col>
      <xdr:colOff>114300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5286375" y="3724275"/>
        <a:ext cx="36480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35</xdr:row>
      <xdr:rowOff>152400</xdr:rowOff>
    </xdr:from>
    <xdr:to>
      <xdr:col>11</xdr:col>
      <xdr:colOff>123825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5295900" y="5819775"/>
        <a:ext cx="36480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9"/>
  <sheetViews>
    <sheetView workbookViewId="0" topLeftCell="A1">
      <selection activeCell="F32" sqref="F32"/>
    </sheetView>
  </sheetViews>
  <sheetFormatPr defaultColWidth="9.140625" defaultRowHeight="12.75"/>
  <cols>
    <col min="1" max="1" width="16.7109375" style="53" customWidth="1"/>
    <col min="2" max="2" width="9.140625" style="53" customWidth="1"/>
    <col min="3" max="3" width="8.7109375" style="53" customWidth="1"/>
    <col min="4" max="4" width="8.8515625" style="53" customWidth="1"/>
    <col min="5" max="5" width="11.57421875" style="53" customWidth="1"/>
    <col min="6" max="6" width="8.57421875" style="53" customWidth="1"/>
    <col min="7" max="7" width="13.00390625" style="53" customWidth="1"/>
    <col min="8" max="8" width="12.140625" style="53" customWidth="1"/>
    <col min="9" max="10" width="9.140625" style="53" customWidth="1"/>
    <col min="11" max="11" width="7.8515625" style="53" customWidth="1"/>
    <col min="12" max="12" width="9.140625" style="53" customWidth="1"/>
    <col min="13" max="13" width="10.57421875" style="53" customWidth="1"/>
    <col min="14" max="30" width="9.140625" style="53" customWidth="1"/>
    <col min="31" max="31" width="5.7109375" style="53" customWidth="1"/>
    <col min="32" max="32" width="7.28125" style="53" customWidth="1"/>
    <col min="33" max="33" width="6.140625" style="53" customWidth="1"/>
    <col min="34" max="34" width="9.140625" style="53" customWidth="1"/>
    <col min="35" max="35" width="7.7109375" style="53" customWidth="1"/>
    <col min="36" max="16384" width="9.140625" style="53" customWidth="1"/>
  </cols>
  <sheetData>
    <row r="1" spans="1:7" ht="12.75">
      <c r="A1" s="51"/>
      <c r="B1" s="52"/>
      <c r="C1" s="52"/>
      <c r="D1" s="52"/>
      <c r="E1" s="52"/>
      <c r="F1" s="253"/>
      <c r="G1" s="253"/>
    </row>
    <row r="4" spans="2:7" ht="12.75">
      <c r="B4" s="54"/>
      <c r="C4" s="54"/>
      <c r="D4" s="54"/>
      <c r="E4" s="54"/>
      <c r="F4" s="54"/>
      <c r="G4" s="54"/>
    </row>
    <row r="5" spans="2:7" ht="12.75">
      <c r="B5" s="54"/>
      <c r="C5" s="54"/>
      <c r="D5" s="54"/>
      <c r="E5" s="54"/>
      <c r="F5" s="54"/>
      <c r="G5" s="54"/>
    </row>
    <row r="6" spans="2:7" ht="12.75">
      <c r="B6" s="54"/>
      <c r="C6" s="54"/>
      <c r="D6" s="54"/>
      <c r="E6" s="54"/>
      <c r="F6" s="54"/>
      <c r="G6" s="54"/>
    </row>
    <row r="7" spans="2:7" ht="12.75">
      <c r="B7" s="54"/>
      <c r="C7" s="54"/>
      <c r="D7" s="54"/>
      <c r="E7" s="54"/>
      <c r="F7" s="54"/>
      <c r="G7" s="54"/>
    </row>
    <row r="8" spans="2:7" ht="12.75">
      <c r="B8" s="54"/>
      <c r="C8" s="54"/>
      <c r="D8" s="54"/>
      <c r="E8" s="54"/>
      <c r="F8" s="54"/>
      <c r="G8" s="54"/>
    </row>
    <row r="9" spans="2:7" ht="12.75">
      <c r="B9" s="54"/>
      <c r="C9" s="54"/>
      <c r="D9" s="54"/>
      <c r="E9" s="54"/>
      <c r="F9" s="54"/>
      <c r="G9" s="54"/>
    </row>
    <row r="10" spans="2:7" ht="12.75">
      <c r="B10" s="54"/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54"/>
      <c r="C12" s="54"/>
      <c r="D12" s="54"/>
      <c r="E12" s="54"/>
      <c r="F12" s="54"/>
      <c r="G12" s="54"/>
    </row>
    <row r="13" spans="2:7" ht="12.75">
      <c r="B13" s="54"/>
      <c r="C13" s="54"/>
      <c r="D13" s="54"/>
      <c r="E13" s="54"/>
      <c r="F13" s="54"/>
      <c r="G13" s="54"/>
    </row>
    <row r="14" spans="2:7" ht="12.75">
      <c r="B14" s="54"/>
      <c r="C14" s="54"/>
      <c r="D14" s="54"/>
      <c r="E14" s="54"/>
      <c r="F14" s="54"/>
      <c r="G14" s="54"/>
    </row>
    <row r="16" ht="12.75">
      <c r="F16" s="55"/>
    </row>
    <row r="17" spans="1:7" ht="12.75">
      <c r="A17" s="51"/>
      <c r="B17" s="51"/>
      <c r="C17" s="51"/>
      <c r="D17" s="51"/>
      <c r="E17" s="51"/>
      <c r="F17" s="52"/>
      <c r="G17" s="52"/>
    </row>
    <row r="32" spans="1:7" ht="12.75">
      <c r="A32" s="51"/>
      <c r="B32" s="51"/>
      <c r="C32" s="51"/>
      <c r="D32" s="51"/>
      <c r="E32" s="51"/>
      <c r="F32" s="52"/>
      <c r="G32" s="52"/>
    </row>
    <row r="35" spans="2:7" ht="12.75">
      <c r="B35" s="54"/>
      <c r="C35" s="54"/>
      <c r="D35" s="54"/>
      <c r="E35" s="54"/>
      <c r="F35" s="54"/>
      <c r="G35" s="2"/>
    </row>
    <row r="36" spans="2:7" ht="12.75">
      <c r="B36" s="54"/>
      <c r="C36" s="54"/>
      <c r="D36" s="54"/>
      <c r="E36" s="54"/>
      <c r="F36" s="54"/>
      <c r="G36" s="2"/>
    </row>
    <row r="37" spans="2:6" ht="12.75">
      <c r="B37" s="54"/>
      <c r="C37" s="54"/>
      <c r="D37" s="54"/>
      <c r="E37" s="54"/>
      <c r="F37" s="54"/>
    </row>
    <row r="38" spans="2:6" ht="12.75">
      <c r="B38" s="54"/>
      <c r="C38" s="54"/>
      <c r="D38" s="54"/>
      <c r="E38" s="54"/>
      <c r="F38" s="54"/>
    </row>
    <row r="39" spans="2:6" ht="12.75">
      <c r="B39" s="54"/>
      <c r="C39" s="54"/>
      <c r="D39" s="54"/>
      <c r="E39" s="54"/>
      <c r="F39" s="54"/>
    </row>
    <row r="40" spans="2:6" ht="12.75">
      <c r="B40" s="54"/>
      <c r="C40" s="54"/>
      <c r="D40" s="54"/>
      <c r="E40" s="54"/>
      <c r="F40" s="54"/>
    </row>
    <row r="41" spans="2:6" ht="12.75">
      <c r="B41" s="54"/>
      <c r="C41" s="54"/>
      <c r="D41" s="54"/>
      <c r="E41" s="54"/>
      <c r="F41" s="54"/>
    </row>
    <row r="42" spans="2:6" ht="12.75">
      <c r="B42" s="54"/>
      <c r="C42" s="54"/>
      <c r="D42" s="54"/>
      <c r="E42" s="54"/>
      <c r="F42" s="54"/>
    </row>
    <row r="43" spans="2:6" ht="12.75">
      <c r="B43" s="54"/>
      <c r="C43" s="54"/>
      <c r="D43" s="54"/>
      <c r="E43" s="54"/>
      <c r="F43" s="54"/>
    </row>
    <row r="44" spans="2:6" ht="12.75">
      <c r="B44" s="54"/>
      <c r="C44" s="54"/>
      <c r="D44" s="54"/>
      <c r="E44" s="54"/>
      <c r="F44" s="54"/>
    </row>
    <row r="45" spans="2:6" ht="12.75">
      <c r="B45" s="54"/>
      <c r="C45" s="54"/>
      <c r="D45" s="54"/>
      <c r="E45" s="54"/>
      <c r="F45" s="54"/>
    </row>
    <row r="47" spans="1:7" ht="12.75">
      <c r="A47" s="51"/>
      <c r="B47" s="51"/>
      <c r="C47" s="51"/>
      <c r="D47" s="51"/>
      <c r="E47" s="51"/>
      <c r="F47" s="52"/>
      <c r="G47" s="52"/>
    </row>
    <row r="50" spans="2:7" ht="12.75">
      <c r="B50" s="56"/>
      <c r="C50" s="56"/>
      <c r="D50" s="56"/>
      <c r="E50" s="56"/>
      <c r="F50" s="56"/>
      <c r="G50" s="3"/>
    </row>
    <row r="51" spans="2:7" ht="12.75">
      <c r="B51" s="56"/>
      <c r="C51" s="56"/>
      <c r="D51" s="56"/>
      <c r="E51" s="56"/>
      <c r="F51" s="56"/>
      <c r="G51" s="3"/>
    </row>
    <row r="52" spans="2:7" ht="12.75">
      <c r="B52" s="56"/>
      <c r="C52" s="56"/>
      <c r="D52" s="56"/>
      <c r="E52" s="56"/>
      <c r="F52" s="56"/>
      <c r="G52" s="56"/>
    </row>
    <row r="53" spans="2:7" ht="12.75">
      <c r="B53" s="56"/>
      <c r="C53" s="56"/>
      <c r="D53" s="56"/>
      <c r="E53" s="56"/>
      <c r="F53" s="56"/>
      <c r="G53" s="56"/>
    </row>
    <row r="54" spans="2:7" ht="12.75">
      <c r="B54" s="56"/>
      <c r="C54" s="56"/>
      <c r="D54" s="56"/>
      <c r="E54" s="56"/>
      <c r="F54" s="56"/>
      <c r="G54" s="56"/>
    </row>
    <row r="55" spans="2:7" ht="12.75">
      <c r="B55" s="56"/>
      <c r="C55" s="56"/>
      <c r="D55" s="56"/>
      <c r="E55" s="56"/>
      <c r="F55" s="56"/>
      <c r="G55" s="56"/>
    </row>
    <row r="56" spans="2:7" ht="12.75">
      <c r="B56" s="56"/>
      <c r="C56" s="56"/>
      <c r="D56" s="56"/>
      <c r="E56" s="56"/>
      <c r="F56" s="56"/>
      <c r="G56" s="56"/>
    </row>
    <row r="57" spans="2:7" ht="12.75">
      <c r="B57" s="56"/>
      <c r="C57" s="56"/>
      <c r="D57" s="56"/>
      <c r="E57" s="56"/>
      <c r="F57" s="56"/>
      <c r="G57" s="56"/>
    </row>
    <row r="58" spans="2:7" ht="12.75">
      <c r="B58" s="56"/>
      <c r="C58" s="56"/>
      <c r="D58" s="56"/>
      <c r="E58" s="56"/>
      <c r="F58" s="56"/>
      <c r="G58" s="56"/>
    </row>
    <row r="59" spans="2:7" ht="12.75">
      <c r="B59" s="56"/>
      <c r="C59" s="56"/>
      <c r="D59" s="56"/>
      <c r="E59" s="56"/>
      <c r="F59" s="56"/>
      <c r="G59" s="56"/>
    </row>
    <row r="60" spans="2:7" ht="12.75">
      <c r="B60" s="56"/>
      <c r="C60" s="56"/>
      <c r="D60" s="56"/>
      <c r="E60" s="56"/>
      <c r="F60" s="56"/>
      <c r="G60" s="56"/>
    </row>
    <row r="65" spans="1:36" ht="12.75">
      <c r="A65" s="96" t="s">
        <v>371</v>
      </c>
      <c r="B65" s="96"/>
      <c r="C65" s="97"/>
      <c r="D65" s="97"/>
      <c r="E65" s="97"/>
      <c r="F65" s="97"/>
      <c r="G65" s="100" t="s">
        <v>294</v>
      </c>
      <c r="H65" s="97"/>
      <c r="I65" s="97"/>
      <c r="J65" s="130"/>
      <c r="K65" s="130"/>
      <c r="L65" s="131"/>
      <c r="M65" s="99"/>
      <c r="N65" s="96"/>
      <c r="O65" s="96"/>
      <c r="P65" s="96"/>
      <c r="Q65" s="96"/>
      <c r="R65" s="99"/>
      <c r="S65" s="99" t="s">
        <v>154</v>
      </c>
      <c r="T65" s="99"/>
      <c r="U65" s="99"/>
      <c r="V65" s="99"/>
      <c r="W65" s="99"/>
      <c r="X65" s="99" t="s">
        <v>295</v>
      </c>
      <c r="Y65" s="99" t="s">
        <v>295</v>
      </c>
      <c r="Z65" s="96"/>
      <c r="AA65" s="96"/>
      <c r="AB65" s="96"/>
      <c r="AC65" s="96"/>
      <c r="AD65" s="96"/>
      <c r="AE65" s="96"/>
      <c r="AF65" s="96"/>
      <c r="AG65" s="96"/>
      <c r="AH65" s="96"/>
      <c r="AI65" s="25"/>
      <c r="AJ65" s="25"/>
    </row>
    <row r="66" spans="1:36" ht="12.75">
      <c r="A66" s="99"/>
      <c r="B66" s="99"/>
      <c r="C66" s="101" t="s">
        <v>296</v>
      </c>
      <c r="D66" s="101"/>
      <c r="E66" s="101" t="s">
        <v>297</v>
      </c>
      <c r="F66" s="101" t="s">
        <v>298</v>
      </c>
      <c r="G66" s="100" t="s">
        <v>299</v>
      </c>
      <c r="H66" s="101" t="s">
        <v>300</v>
      </c>
      <c r="I66" s="101"/>
      <c r="J66" s="99" t="s">
        <v>301</v>
      </c>
      <c r="K66" s="99" t="s">
        <v>302</v>
      </c>
      <c r="L66" s="99"/>
      <c r="M66" s="99" t="s">
        <v>303</v>
      </c>
      <c r="N66" s="99" t="s">
        <v>304</v>
      </c>
      <c r="O66" s="99"/>
      <c r="P66" s="99" t="s">
        <v>305</v>
      </c>
      <c r="Q66" s="99" t="s">
        <v>306</v>
      </c>
      <c r="R66" s="99" t="s">
        <v>307</v>
      </c>
      <c r="S66" s="99" t="s">
        <v>308</v>
      </c>
      <c r="T66" s="99" t="s">
        <v>309</v>
      </c>
      <c r="U66" s="132" t="s">
        <v>310</v>
      </c>
      <c r="V66" s="102" t="s">
        <v>311</v>
      </c>
      <c r="W66" s="102" t="s">
        <v>312</v>
      </c>
      <c r="X66" s="102" t="s">
        <v>313</v>
      </c>
      <c r="Y66" s="102" t="s">
        <v>314</v>
      </c>
      <c r="Z66" s="102" t="s">
        <v>315</v>
      </c>
      <c r="AA66" s="102" t="s">
        <v>316</v>
      </c>
      <c r="AB66" s="102" t="s">
        <v>317</v>
      </c>
      <c r="AC66" s="102" t="s">
        <v>318</v>
      </c>
      <c r="AD66" s="102" t="s">
        <v>319</v>
      </c>
      <c r="AE66" s="102" t="s">
        <v>320</v>
      </c>
      <c r="AF66" s="102" t="s">
        <v>321</v>
      </c>
      <c r="AG66" s="102" t="s">
        <v>322</v>
      </c>
      <c r="AH66" s="102" t="s">
        <v>323</v>
      </c>
      <c r="AI66" s="25"/>
      <c r="AJ66" s="25"/>
    </row>
    <row r="67" spans="1:36" ht="12.75">
      <c r="A67" s="99"/>
      <c r="B67" s="99"/>
      <c r="C67" s="101" t="s">
        <v>324</v>
      </c>
      <c r="D67" s="101" t="s">
        <v>325</v>
      </c>
      <c r="E67" s="101" t="s">
        <v>326</v>
      </c>
      <c r="F67" s="101" t="s">
        <v>327</v>
      </c>
      <c r="G67" s="100" t="s">
        <v>328</v>
      </c>
      <c r="H67" s="101" t="s">
        <v>330</v>
      </c>
      <c r="I67" s="101" t="s">
        <v>331</v>
      </c>
      <c r="J67" s="99" t="s">
        <v>216</v>
      </c>
      <c r="K67" s="99" t="s">
        <v>332</v>
      </c>
      <c r="L67" s="99" t="s">
        <v>333</v>
      </c>
      <c r="M67" s="99" t="s">
        <v>334</v>
      </c>
      <c r="N67" s="131" t="s">
        <v>335</v>
      </c>
      <c r="O67" s="99" t="s">
        <v>99</v>
      </c>
      <c r="P67" s="99" t="s">
        <v>216</v>
      </c>
      <c r="Q67" s="99" t="s">
        <v>336</v>
      </c>
      <c r="R67" s="99" t="s">
        <v>216</v>
      </c>
      <c r="S67" s="131" t="s">
        <v>216</v>
      </c>
      <c r="T67" s="131" t="s">
        <v>216</v>
      </c>
      <c r="U67" s="131" t="s">
        <v>330</v>
      </c>
      <c r="V67" s="131" t="s">
        <v>330</v>
      </c>
      <c r="W67" s="131" t="s">
        <v>330</v>
      </c>
      <c r="X67" s="131" t="s">
        <v>330</v>
      </c>
      <c r="Y67" s="131" t="s">
        <v>330</v>
      </c>
      <c r="Z67" s="131" t="s">
        <v>330</v>
      </c>
      <c r="AA67" s="131" t="s">
        <v>330</v>
      </c>
      <c r="AB67" s="131" t="s">
        <v>330</v>
      </c>
      <c r="AC67" s="131" t="s">
        <v>330</v>
      </c>
      <c r="AD67" s="131" t="s">
        <v>330</v>
      </c>
      <c r="AE67" s="131" t="s">
        <v>330</v>
      </c>
      <c r="AF67" s="131" t="s">
        <v>330</v>
      </c>
      <c r="AG67" s="131" t="s">
        <v>330</v>
      </c>
      <c r="AH67" s="131" t="s">
        <v>330</v>
      </c>
      <c r="AI67" s="25"/>
      <c r="AJ67" s="25"/>
    </row>
    <row r="68" spans="1:36" ht="12.75">
      <c r="A68" s="103" t="s">
        <v>337</v>
      </c>
      <c r="B68" s="103" t="s">
        <v>355</v>
      </c>
      <c r="C68" s="104" t="s">
        <v>162</v>
      </c>
      <c r="D68" s="104" t="s">
        <v>162</v>
      </c>
      <c r="E68" s="104" t="s">
        <v>162</v>
      </c>
      <c r="F68" s="104" t="s">
        <v>338</v>
      </c>
      <c r="G68" s="105" t="s">
        <v>339</v>
      </c>
      <c r="H68" s="104" t="s">
        <v>156</v>
      </c>
      <c r="I68" s="104" t="s">
        <v>157</v>
      </c>
      <c r="J68" s="103" t="s">
        <v>156</v>
      </c>
      <c r="K68" s="103" t="s">
        <v>156</v>
      </c>
      <c r="L68" s="103" t="s">
        <v>340</v>
      </c>
      <c r="M68" s="103" t="s">
        <v>158</v>
      </c>
      <c r="N68" s="103" t="s">
        <v>156</v>
      </c>
      <c r="O68" s="103" t="s">
        <v>100</v>
      </c>
      <c r="P68" s="103" t="s">
        <v>156</v>
      </c>
      <c r="Q68" s="106" t="s">
        <v>160</v>
      </c>
      <c r="R68" s="103" t="s">
        <v>160</v>
      </c>
      <c r="S68" s="103" t="s">
        <v>341</v>
      </c>
      <c r="T68" s="103" t="s">
        <v>156</v>
      </c>
      <c r="U68" s="103" t="s">
        <v>156</v>
      </c>
      <c r="V68" s="103" t="s">
        <v>156</v>
      </c>
      <c r="W68" s="103" t="s">
        <v>156</v>
      </c>
      <c r="X68" s="103" t="s">
        <v>156</v>
      </c>
      <c r="Y68" s="103" t="s">
        <v>156</v>
      </c>
      <c r="Z68" s="103" t="s">
        <v>156</v>
      </c>
      <c r="AA68" s="103" t="s">
        <v>156</v>
      </c>
      <c r="AB68" s="103" t="s">
        <v>156</v>
      </c>
      <c r="AC68" s="103" t="s">
        <v>156</v>
      </c>
      <c r="AD68" s="103" t="s">
        <v>156</v>
      </c>
      <c r="AE68" s="103" t="s">
        <v>156</v>
      </c>
      <c r="AF68" s="103" t="s">
        <v>156</v>
      </c>
      <c r="AG68" s="103" t="s">
        <v>156</v>
      </c>
      <c r="AH68" s="103" t="s">
        <v>156</v>
      </c>
      <c r="AI68" s="25"/>
      <c r="AJ68" s="25"/>
    </row>
    <row r="69" spans="1:36" ht="13.5" hidden="1" thickTop="1">
      <c r="A69" s="133">
        <v>35809.395833333336</v>
      </c>
      <c r="B69" s="134">
        <v>35809.395833333336</v>
      </c>
      <c r="C69" s="135">
        <v>1</v>
      </c>
      <c r="D69" s="135">
        <v>9</v>
      </c>
      <c r="E69" s="135">
        <v>3</v>
      </c>
      <c r="F69" s="135">
        <v>8.9</v>
      </c>
      <c r="G69" s="136">
        <v>281</v>
      </c>
      <c r="H69" s="135">
        <v>10.2</v>
      </c>
      <c r="I69" s="135">
        <v>3</v>
      </c>
      <c r="J69" s="137"/>
      <c r="K69" s="138">
        <v>6</v>
      </c>
      <c r="L69" s="138">
        <v>0.8</v>
      </c>
      <c r="M69" s="138">
        <v>1</v>
      </c>
      <c r="N69" s="137"/>
      <c r="O69" s="138">
        <v>121</v>
      </c>
      <c r="P69" s="138">
        <v>0.2</v>
      </c>
      <c r="Q69" s="138">
        <v>0.005</v>
      </c>
      <c r="R69" s="138">
        <v>0.01</v>
      </c>
      <c r="S69" s="138">
        <v>16</v>
      </c>
      <c r="T69" s="138"/>
      <c r="U69" s="138">
        <v>0.003</v>
      </c>
      <c r="V69" s="138">
        <v>33.3</v>
      </c>
      <c r="W69" s="138">
        <v>0.01</v>
      </c>
      <c r="X69" s="138"/>
      <c r="Y69" s="138"/>
      <c r="Z69" s="138"/>
      <c r="AA69" s="138">
        <v>0.04</v>
      </c>
      <c r="AB69" s="138">
        <v>9.2</v>
      </c>
      <c r="AC69" s="138"/>
      <c r="AD69" s="139">
        <v>0.0002</v>
      </c>
      <c r="AE69" s="137"/>
      <c r="AF69" s="138">
        <v>0.001</v>
      </c>
      <c r="AG69" s="137"/>
      <c r="AH69" s="137"/>
      <c r="AI69" s="25"/>
      <c r="AJ69" s="25"/>
    </row>
    <row r="70" spans="1:36" ht="12.75" hidden="1">
      <c r="A70" s="133">
        <v>35809.385416666664</v>
      </c>
      <c r="B70" s="134">
        <v>35809.385416666664</v>
      </c>
      <c r="C70" s="135">
        <v>1.5</v>
      </c>
      <c r="D70" s="135">
        <v>9</v>
      </c>
      <c r="E70" s="135">
        <v>3</v>
      </c>
      <c r="F70" s="135">
        <v>8.6</v>
      </c>
      <c r="G70" s="136">
        <v>283</v>
      </c>
      <c r="H70" s="135">
        <v>9.7</v>
      </c>
      <c r="I70" s="135">
        <v>3.2</v>
      </c>
      <c r="J70" s="137"/>
      <c r="K70" s="138">
        <v>6</v>
      </c>
      <c r="L70" s="138"/>
      <c r="M70" s="138">
        <v>0</v>
      </c>
      <c r="N70" s="137"/>
      <c r="O70" s="138">
        <v>119</v>
      </c>
      <c r="P70" s="138">
        <v>0.3</v>
      </c>
      <c r="Q70" s="138">
        <v>0.005</v>
      </c>
      <c r="R70" s="138">
        <v>0.01</v>
      </c>
      <c r="S70" s="138">
        <v>24</v>
      </c>
      <c r="T70" s="138"/>
      <c r="U70" s="138">
        <v>0.003</v>
      </c>
      <c r="V70" s="138">
        <v>32.5</v>
      </c>
      <c r="W70" s="138">
        <v>0.01</v>
      </c>
      <c r="X70" s="138"/>
      <c r="Y70" s="138"/>
      <c r="Z70" s="138"/>
      <c r="AA70" s="138">
        <v>0.04</v>
      </c>
      <c r="AB70" s="138">
        <v>9.1</v>
      </c>
      <c r="AC70" s="138"/>
      <c r="AD70" s="139">
        <v>0.0002</v>
      </c>
      <c r="AE70" s="137"/>
      <c r="AF70" s="138">
        <v>0.001</v>
      </c>
      <c r="AG70" s="137"/>
      <c r="AH70" s="137"/>
      <c r="AI70" s="25"/>
      <c r="AJ70" s="25"/>
    </row>
    <row r="71" spans="1:36" ht="12.75" hidden="1">
      <c r="A71" s="140">
        <v>35809.375</v>
      </c>
      <c r="B71" s="141">
        <v>35809.375</v>
      </c>
      <c r="C71" s="142">
        <v>8</v>
      </c>
      <c r="D71" s="142">
        <v>9</v>
      </c>
      <c r="E71" s="142">
        <v>3</v>
      </c>
      <c r="F71" s="142">
        <v>7.5</v>
      </c>
      <c r="G71" s="143">
        <v>278</v>
      </c>
      <c r="H71" s="142">
        <v>10.7</v>
      </c>
      <c r="I71" s="142">
        <v>3.8</v>
      </c>
      <c r="J71" s="144"/>
      <c r="K71" s="145">
        <v>6</v>
      </c>
      <c r="L71" s="145"/>
      <c r="M71" s="145">
        <v>0</v>
      </c>
      <c r="N71" s="144"/>
      <c r="O71" s="145">
        <v>118</v>
      </c>
      <c r="P71" s="145">
        <v>0.4</v>
      </c>
      <c r="Q71" s="145">
        <v>0.008</v>
      </c>
      <c r="R71" s="145">
        <v>0.02</v>
      </c>
      <c r="S71" s="145">
        <v>56</v>
      </c>
      <c r="T71" s="145"/>
      <c r="U71" s="138">
        <v>0.003</v>
      </c>
      <c r="V71" s="145">
        <v>32.9</v>
      </c>
      <c r="W71" s="138">
        <v>0.01</v>
      </c>
      <c r="X71" s="145"/>
      <c r="Y71" s="145"/>
      <c r="Z71" s="145"/>
      <c r="AA71" s="138">
        <v>0.04</v>
      </c>
      <c r="AB71" s="145">
        <v>8.8</v>
      </c>
      <c r="AC71" s="145"/>
      <c r="AD71" s="145">
        <v>0.0002</v>
      </c>
      <c r="AE71" s="144"/>
      <c r="AF71" s="138">
        <v>0.001</v>
      </c>
      <c r="AG71" s="144"/>
      <c r="AH71" s="144"/>
      <c r="AI71" s="25"/>
      <c r="AJ71" s="25"/>
    </row>
    <row r="72" spans="1:36" s="5" customFormat="1" ht="12.75">
      <c r="A72" s="146" t="s">
        <v>343</v>
      </c>
      <c r="B72" s="147" t="s">
        <v>277</v>
      </c>
      <c r="C72" s="148"/>
      <c r="D72" s="148">
        <f aca="true" t="shared" si="0" ref="D72:I72">AVERAGE(D69:D71)</f>
        <v>9</v>
      </c>
      <c r="E72" s="148">
        <f t="shared" si="0"/>
        <v>3</v>
      </c>
      <c r="F72" s="148">
        <f t="shared" si="0"/>
        <v>8.333333333333334</v>
      </c>
      <c r="G72" s="148">
        <f t="shared" si="0"/>
        <v>280.6666666666667</v>
      </c>
      <c r="H72" s="148">
        <f t="shared" si="0"/>
        <v>10.2</v>
      </c>
      <c r="I72" s="148">
        <f t="shared" si="0"/>
        <v>3.3333333333333335</v>
      </c>
      <c r="J72" s="148"/>
      <c r="K72" s="148">
        <f>AVERAGE(K69:K71)</f>
        <v>6</v>
      </c>
      <c r="L72" s="148">
        <f>AVERAGE(L69:L71)</f>
        <v>0.8</v>
      </c>
      <c r="M72" s="148">
        <f>AVERAGE(M69:M71)</f>
        <v>0.3333333333333333</v>
      </c>
      <c r="N72" s="148"/>
      <c r="O72" s="148">
        <f>AVERAGE(O69:O71)</f>
        <v>119.33333333333333</v>
      </c>
      <c r="P72" s="149">
        <f>AVERAGE(P69:P71)</f>
        <v>0.3</v>
      </c>
      <c r="Q72" s="149">
        <f>AVERAGE(Q69:Q71)</f>
        <v>0.006000000000000001</v>
      </c>
      <c r="R72" s="149">
        <f>AVERAGE(R69:R71)</f>
        <v>0.013333333333333334</v>
      </c>
      <c r="S72" s="148">
        <f>AVERAGE(S69:S71)</f>
        <v>32</v>
      </c>
      <c r="T72" s="148"/>
      <c r="U72" s="148">
        <f>AVERAGE(U69:U71)</f>
        <v>0.0030000000000000005</v>
      </c>
      <c r="V72" s="148">
        <f>AVERAGE(V69:V71)</f>
        <v>32.9</v>
      </c>
      <c r="W72" s="148">
        <f>AVERAGE(W69:W71)</f>
        <v>0.01</v>
      </c>
      <c r="X72" s="148"/>
      <c r="Y72" s="148"/>
      <c r="Z72" s="148"/>
      <c r="AA72" s="148">
        <f>AVERAGE(AA69:AA71)</f>
        <v>0.04</v>
      </c>
      <c r="AB72" s="148">
        <f>AVERAGE(AB69:AB71)</f>
        <v>9.033333333333333</v>
      </c>
      <c r="AC72" s="149"/>
      <c r="AD72" s="149">
        <f>AVERAGE(AD69:AD71)</f>
        <v>0.0002</v>
      </c>
      <c r="AE72" s="149"/>
      <c r="AF72" s="149">
        <f>AVERAGE(AF69:AF71)</f>
        <v>0.001</v>
      </c>
      <c r="AG72" s="149"/>
      <c r="AH72" s="149"/>
      <c r="AI72" s="31"/>
      <c r="AJ72" s="31"/>
    </row>
    <row r="73" spans="1:36" ht="12.75" hidden="1">
      <c r="A73" s="150">
        <v>35837.36111111111</v>
      </c>
      <c r="B73" s="151">
        <v>35837.36111111111</v>
      </c>
      <c r="C73" s="135">
        <v>1</v>
      </c>
      <c r="D73" s="135">
        <v>6</v>
      </c>
      <c r="E73" s="135">
        <v>4</v>
      </c>
      <c r="F73" s="135">
        <v>8.5</v>
      </c>
      <c r="G73" s="136">
        <v>310</v>
      </c>
      <c r="H73" s="135">
        <v>10.1</v>
      </c>
      <c r="I73" s="135">
        <v>4.1</v>
      </c>
      <c r="J73" s="137"/>
      <c r="K73" s="138">
        <v>3</v>
      </c>
      <c r="L73" s="138">
        <v>1.2</v>
      </c>
      <c r="M73" s="138">
        <v>0</v>
      </c>
      <c r="N73" s="137"/>
      <c r="O73" s="138">
        <v>120</v>
      </c>
      <c r="P73" s="139">
        <v>0.1</v>
      </c>
      <c r="Q73" s="139">
        <v>0.005</v>
      </c>
      <c r="R73" s="139">
        <v>0.01</v>
      </c>
      <c r="S73" s="138">
        <v>5</v>
      </c>
      <c r="T73" s="138"/>
      <c r="U73" s="138">
        <v>0.003</v>
      </c>
      <c r="V73" s="138">
        <v>33.3</v>
      </c>
      <c r="W73" s="138">
        <v>0.01</v>
      </c>
      <c r="X73" s="138"/>
      <c r="Y73" s="138"/>
      <c r="Z73" s="138"/>
      <c r="AA73" s="138">
        <v>0.04</v>
      </c>
      <c r="AB73" s="138">
        <v>9</v>
      </c>
      <c r="AC73" s="139"/>
      <c r="AD73" s="139">
        <v>0.0002</v>
      </c>
      <c r="AE73" s="152"/>
      <c r="AF73" s="138">
        <v>0.001</v>
      </c>
      <c r="AG73" s="152"/>
      <c r="AH73" s="152"/>
      <c r="AI73" s="25"/>
      <c r="AJ73" s="25"/>
    </row>
    <row r="74" spans="1:36" ht="12.75" hidden="1">
      <c r="A74" s="150">
        <v>35837.368055555555</v>
      </c>
      <c r="B74" s="151">
        <v>35837.368055555555</v>
      </c>
      <c r="C74" s="135">
        <v>2</v>
      </c>
      <c r="D74" s="135">
        <v>6</v>
      </c>
      <c r="E74" s="135">
        <v>4</v>
      </c>
      <c r="F74" s="135">
        <v>8.4</v>
      </c>
      <c r="G74" s="136">
        <v>311</v>
      </c>
      <c r="H74" s="135">
        <v>10.4</v>
      </c>
      <c r="I74" s="135">
        <v>4.1</v>
      </c>
      <c r="J74" s="137"/>
      <c r="K74" s="138">
        <v>3</v>
      </c>
      <c r="L74" s="138"/>
      <c r="M74" s="138">
        <v>0</v>
      </c>
      <c r="N74" s="137"/>
      <c r="O74" s="138">
        <v>119</v>
      </c>
      <c r="P74" s="139">
        <v>0.1</v>
      </c>
      <c r="Q74" s="139">
        <v>0.005</v>
      </c>
      <c r="R74" s="139">
        <v>0.01</v>
      </c>
      <c r="S74" s="138">
        <v>5</v>
      </c>
      <c r="T74" s="138"/>
      <c r="U74" s="138">
        <v>0.003</v>
      </c>
      <c r="V74" s="138">
        <v>32.9</v>
      </c>
      <c r="W74" s="138">
        <v>0.01</v>
      </c>
      <c r="X74" s="138"/>
      <c r="Y74" s="138"/>
      <c r="Z74" s="138"/>
      <c r="AA74" s="138">
        <v>0.04</v>
      </c>
      <c r="AB74" s="138">
        <v>8.9</v>
      </c>
      <c r="AC74" s="139"/>
      <c r="AD74" s="139">
        <v>0.0002</v>
      </c>
      <c r="AE74" s="152"/>
      <c r="AF74" s="138">
        <v>0.001</v>
      </c>
      <c r="AG74" s="152"/>
      <c r="AH74" s="152"/>
      <c r="AI74" s="25"/>
      <c r="AJ74" s="25"/>
    </row>
    <row r="75" spans="1:36" ht="12.75" hidden="1">
      <c r="A75" s="153">
        <v>35837.375</v>
      </c>
      <c r="B75" s="154">
        <v>35837.375</v>
      </c>
      <c r="C75" s="142">
        <v>5</v>
      </c>
      <c r="D75" s="142">
        <v>6</v>
      </c>
      <c r="E75" s="142">
        <v>4</v>
      </c>
      <c r="F75" s="142">
        <v>8</v>
      </c>
      <c r="G75" s="143">
        <v>322</v>
      </c>
      <c r="H75" s="142">
        <v>10.4</v>
      </c>
      <c r="I75" s="142">
        <v>3.7</v>
      </c>
      <c r="J75" s="144"/>
      <c r="K75" s="145">
        <v>3</v>
      </c>
      <c r="L75" s="145"/>
      <c r="M75" s="145">
        <v>0</v>
      </c>
      <c r="N75" s="144"/>
      <c r="O75" s="145">
        <v>125</v>
      </c>
      <c r="P75" s="155">
        <v>0.4</v>
      </c>
      <c r="Q75" s="155">
        <v>0.005</v>
      </c>
      <c r="R75" s="155">
        <v>0.01</v>
      </c>
      <c r="S75" s="145">
        <v>5</v>
      </c>
      <c r="T75" s="145"/>
      <c r="U75" s="138">
        <v>0.003</v>
      </c>
      <c r="V75" s="145">
        <v>34.7</v>
      </c>
      <c r="W75" s="138">
        <v>0.01</v>
      </c>
      <c r="X75" s="145"/>
      <c r="Y75" s="145"/>
      <c r="Z75" s="145"/>
      <c r="AA75" s="138">
        <v>0.04</v>
      </c>
      <c r="AB75" s="145">
        <v>9.3</v>
      </c>
      <c r="AC75" s="155"/>
      <c r="AD75" s="139">
        <v>0.0002</v>
      </c>
      <c r="AE75" s="156"/>
      <c r="AF75" s="138">
        <v>0.001</v>
      </c>
      <c r="AG75" s="156"/>
      <c r="AH75" s="156"/>
      <c r="AI75" s="25"/>
      <c r="AJ75" s="25"/>
    </row>
    <row r="76" spans="1:36" ht="12.75">
      <c r="A76" s="146" t="s">
        <v>344</v>
      </c>
      <c r="B76" s="147" t="s">
        <v>0</v>
      </c>
      <c r="C76" s="157"/>
      <c r="D76" s="148">
        <f aca="true" t="shared" si="1" ref="D76:I76">AVERAGE(D73:D75)</f>
        <v>6</v>
      </c>
      <c r="E76" s="148">
        <f t="shared" si="1"/>
        <v>4</v>
      </c>
      <c r="F76" s="148">
        <f t="shared" si="1"/>
        <v>8.299999999999999</v>
      </c>
      <c r="G76" s="148">
        <f t="shared" si="1"/>
        <v>314.3333333333333</v>
      </c>
      <c r="H76" s="148">
        <f t="shared" si="1"/>
        <v>10.299999999999999</v>
      </c>
      <c r="I76" s="148">
        <f t="shared" si="1"/>
        <v>3.9666666666666663</v>
      </c>
      <c r="J76" s="148"/>
      <c r="K76" s="148">
        <f>AVERAGE(K73:K75)</f>
        <v>3</v>
      </c>
      <c r="L76" s="148">
        <f>AVERAGE(L73:L75)</f>
        <v>1.2</v>
      </c>
      <c r="M76" s="148">
        <f>AVERAGE(M73:M75)</f>
        <v>0</v>
      </c>
      <c r="N76" s="148"/>
      <c r="O76" s="148">
        <f>AVERAGE(O73:O75)</f>
        <v>121.33333333333333</v>
      </c>
      <c r="P76" s="149">
        <f>AVERAGE(P73:P75)</f>
        <v>0.20000000000000004</v>
      </c>
      <c r="Q76" s="149">
        <f>AVERAGE(Q73:Q75)</f>
        <v>0.005</v>
      </c>
      <c r="R76" s="149">
        <f>AVERAGE(R73:R75)</f>
        <v>0.01</v>
      </c>
      <c r="S76" s="148">
        <f>AVERAGE(S73:S75)</f>
        <v>5</v>
      </c>
      <c r="T76" s="148"/>
      <c r="U76" s="148">
        <f>AVERAGE(U73:U75)</f>
        <v>0.0030000000000000005</v>
      </c>
      <c r="V76" s="148">
        <f>AVERAGE(V73:V75)</f>
        <v>33.63333333333333</v>
      </c>
      <c r="W76" s="148">
        <f>AVERAGE(W73:W75)</f>
        <v>0.01</v>
      </c>
      <c r="X76" s="148"/>
      <c r="Y76" s="148"/>
      <c r="Z76" s="148"/>
      <c r="AA76" s="148">
        <f>AVERAGE(AA73:AA75)</f>
        <v>0.04</v>
      </c>
      <c r="AB76" s="148">
        <f>AVERAGE(AB73:AB75)</f>
        <v>9.066666666666666</v>
      </c>
      <c r="AC76" s="149"/>
      <c r="AD76" s="149">
        <f>AVERAGE(AD73:AD75)</f>
        <v>0.0002</v>
      </c>
      <c r="AE76" s="149"/>
      <c r="AF76" s="149">
        <f>AVERAGE(AF73:AF75)</f>
        <v>0.001</v>
      </c>
      <c r="AG76" s="149"/>
      <c r="AH76" s="149"/>
      <c r="AI76" s="25"/>
      <c r="AJ76" s="25"/>
    </row>
    <row r="77" spans="1:36" ht="12.75" hidden="1">
      <c r="A77" s="150">
        <v>35877.416666666664</v>
      </c>
      <c r="B77" s="151">
        <v>35877.416666666664</v>
      </c>
      <c r="C77" s="135">
        <v>1</v>
      </c>
      <c r="D77" s="135">
        <v>10</v>
      </c>
      <c r="E77" s="135">
        <v>3.5</v>
      </c>
      <c r="F77" s="135">
        <v>8.3</v>
      </c>
      <c r="G77" s="136">
        <v>318</v>
      </c>
      <c r="H77" s="135">
        <v>12.3</v>
      </c>
      <c r="I77" s="135">
        <v>5.9</v>
      </c>
      <c r="J77" s="138">
        <v>93</v>
      </c>
      <c r="K77" s="138">
        <v>3</v>
      </c>
      <c r="L77" s="138">
        <v>2.1</v>
      </c>
      <c r="M77" s="138">
        <v>0</v>
      </c>
      <c r="N77" s="138">
        <v>0.01</v>
      </c>
      <c r="O77" s="138">
        <v>118</v>
      </c>
      <c r="P77" s="139">
        <v>0.4</v>
      </c>
      <c r="Q77" s="139">
        <v>0.005</v>
      </c>
      <c r="R77" s="139">
        <v>0.01</v>
      </c>
      <c r="S77" s="138">
        <v>5</v>
      </c>
      <c r="T77" s="138">
        <v>-0.001</v>
      </c>
      <c r="U77" s="138">
        <v>0.003</v>
      </c>
      <c r="V77" s="138">
        <v>32.9</v>
      </c>
      <c r="W77" s="138">
        <v>0.01</v>
      </c>
      <c r="X77" s="145">
        <v>0.005</v>
      </c>
      <c r="Y77" s="145">
        <v>0.005</v>
      </c>
      <c r="Z77" s="138">
        <v>0.01</v>
      </c>
      <c r="AA77" s="138">
        <v>0.04</v>
      </c>
      <c r="AB77" s="138">
        <v>8.8</v>
      </c>
      <c r="AC77" s="139">
        <v>0.075</v>
      </c>
      <c r="AD77" s="139">
        <v>0.0002</v>
      </c>
      <c r="AE77" s="139">
        <v>-0.01</v>
      </c>
      <c r="AF77" s="138">
        <v>0.001</v>
      </c>
      <c r="AG77" s="155">
        <v>0.005</v>
      </c>
      <c r="AH77" s="139">
        <v>0.02</v>
      </c>
      <c r="AI77" s="25"/>
      <c r="AJ77" s="25"/>
    </row>
    <row r="78" spans="1:36" ht="12.75" hidden="1">
      <c r="A78" s="150">
        <v>35877.40277777778</v>
      </c>
      <c r="B78" s="151">
        <v>35877.40277777778</v>
      </c>
      <c r="C78" s="135">
        <v>1.75</v>
      </c>
      <c r="D78" s="135">
        <v>10</v>
      </c>
      <c r="E78" s="135">
        <v>3.5</v>
      </c>
      <c r="F78" s="135">
        <v>8.3</v>
      </c>
      <c r="G78" s="136">
        <v>318</v>
      </c>
      <c r="H78" s="135">
        <v>12.3</v>
      </c>
      <c r="I78" s="135">
        <v>5.9</v>
      </c>
      <c r="J78" s="138">
        <v>93</v>
      </c>
      <c r="K78" s="138">
        <v>3</v>
      </c>
      <c r="L78" s="138"/>
      <c r="M78" s="138">
        <v>1</v>
      </c>
      <c r="N78" s="138">
        <v>0.01</v>
      </c>
      <c r="O78" s="138">
        <v>117</v>
      </c>
      <c r="P78" s="139">
        <v>0.3</v>
      </c>
      <c r="Q78" s="139">
        <v>0.005</v>
      </c>
      <c r="R78" s="139">
        <v>0.01</v>
      </c>
      <c r="S78" s="138">
        <v>5</v>
      </c>
      <c r="T78" s="138">
        <v>-0.001</v>
      </c>
      <c r="U78" s="138">
        <v>0.003</v>
      </c>
      <c r="V78" s="138">
        <v>32.6</v>
      </c>
      <c r="W78" s="138">
        <v>0.01</v>
      </c>
      <c r="X78" s="145">
        <v>0.005</v>
      </c>
      <c r="Y78" s="145">
        <v>0.005</v>
      </c>
      <c r="Z78" s="138">
        <v>-0.01</v>
      </c>
      <c r="AA78" s="138">
        <v>0.04</v>
      </c>
      <c r="AB78" s="138">
        <v>8.7</v>
      </c>
      <c r="AC78" s="139">
        <v>0.075</v>
      </c>
      <c r="AD78" s="139">
        <v>0.0003</v>
      </c>
      <c r="AE78" s="139">
        <v>-0.01</v>
      </c>
      <c r="AF78" s="138">
        <v>0.001</v>
      </c>
      <c r="AG78" s="155">
        <v>0.005</v>
      </c>
      <c r="AH78" s="139">
        <v>0.01</v>
      </c>
      <c r="AI78" s="25"/>
      <c r="AJ78" s="25"/>
    </row>
    <row r="79" spans="1:36" ht="12.75" hidden="1">
      <c r="A79" s="153">
        <v>35877.39236111111</v>
      </c>
      <c r="B79" s="154">
        <v>35877.39236111111</v>
      </c>
      <c r="C79" s="142">
        <v>9</v>
      </c>
      <c r="D79" s="142">
        <v>10</v>
      </c>
      <c r="E79" s="142">
        <v>3.5</v>
      </c>
      <c r="F79" s="142">
        <v>8.1</v>
      </c>
      <c r="G79" s="143">
        <v>317</v>
      </c>
      <c r="H79" s="142">
        <v>12.4</v>
      </c>
      <c r="I79" s="142">
        <v>6</v>
      </c>
      <c r="J79" s="145">
        <v>93</v>
      </c>
      <c r="K79" s="145">
        <v>3</v>
      </c>
      <c r="L79" s="145"/>
      <c r="M79" s="145">
        <v>2</v>
      </c>
      <c r="N79" s="145">
        <v>0.01</v>
      </c>
      <c r="O79" s="145">
        <v>119</v>
      </c>
      <c r="P79" s="155">
        <v>0.6</v>
      </c>
      <c r="Q79" s="155">
        <v>0.005</v>
      </c>
      <c r="R79" s="155">
        <v>0.01</v>
      </c>
      <c r="S79" s="145">
        <v>10</v>
      </c>
      <c r="T79" s="145">
        <v>-0.001</v>
      </c>
      <c r="U79" s="138">
        <v>0.003</v>
      </c>
      <c r="V79" s="145">
        <v>33.1</v>
      </c>
      <c r="W79" s="138">
        <v>0.01</v>
      </c>
      <c r="X79" s="145">
        <v>0.005</v>
      </c>
      <c r="Y79" s="145">
        <v>0.005</v>
      </c>
      <c r="Z79" s="145">
        <v>0.01</v>
      </c>
      <c r="AA79" s="138">
        <v>0.04</v>
      </c>
      <c r="AB79" s="145">
        <v>8.8</v>
      </c>
      <c r="AC79" s="155">
        <v>0.075</v>
      </c>
      <c r="AD79" s="155">
        <v>0.0003</v>
      </c>
      <c r="AE79" s="155">
        <v>-0.01</v>
      </c>
      <c r="AF79" s="138">
        <v>0.001</v>
      </c>
      <c r="AG79" s="155">
        <v>0.005</v>
      </c>
      <c r="AH79" s="155">
        <v>0.01</v>
      </c>
      <c r="AI79" s="25"/>
      <c r="AJ79" s="25"/>
    </row>
    <row r="80" spans="1:36" ht="12.75">
      <c r="A80" s="146" t="s">
        <v>345</v>
      </c>
      <c r="B80" s="147" t="s">
        <v>1</v>
      </c>
      <c r="C80" s="157"/>
      <c r="D80" s="148">
        <f aca="true" t="shared" si="2" ref="D80:AH80">AVERAGE(D77:D79)</f>
        <v>10</v>
      </c>
      <c r="E80" s="148">
        <f t="shared" si="2"/>
        <v>3.5</v>
      </c>
      <c r="F80" s="148">
        <f t="shared" si="2"/>
        <v>8.233333333333334</v>
      </c>
      <c r="G80" s="148">
        <f t="shared" si="2"/>
        <v>317.6666666666667</v>
      </c>
      <c r="H80" s="148">
        <f t="shared" si="2"/>
        <v>12.333333333333334</v>
      </c>
      <c r="I80" s="148">
        <f t="shared" si="2"/>
        <v>5.933333333333334</v>
      </c>
      <c r="J80" s="148">
        <f t="shared" si="2"/>
        <v>93</v>
      </c>
      <c r="K80" s="148">
        <f t="shared" si="2"/>
        <v>3</v>
      </c>
      <c r="L80" s="148">
        <f t="shared" si="2"/>
        <v>2.1</v>
      </c>
      <c r="M80" s="148">
        <f t="shared" si="2"/>
        <v>1</v>
      </c>
      <c r="N80" s="148">
        <f t="shared" si="2"/>
        <v>0.01</v>
      </c>
      <c r="O80" s="148">
        <f t="shared" si="2"/>
        <v>118</v>
      </c>
      <c r="P80" s="149">
        <f t="shared" si="2"/>
        <v>0.4333333333333333</v>
      </c>
      <c r="Q80" s="149">
        <f t="shared" si="2"/>
        <v>0.005</v>
      </c>
      <c r="R80" s="149">
        <f t="shared" si="2"/>
        <v>0.01</v>
      </c>
      <c r="S80" s="148">
        <f t="shared" si="2"/>
        <v>6.666666666666667</v>
      </c>
      <c r="T80" s="148">
        <f t="shared" si="2"/>
        <v>-0.001</v>
      </c>
      <c r="U80" s="148">
        <f t="shared" si="2"/>
        <v>0.0030000000000000005</v>
      </c>
      <c r="V80" s="148">
        <f t="shared" si="2"/>
        <v>32.86666666666667</v>
      </c>
      <c r="W80" s="148">
        <f t="shared" si="2"/>
        <v>0.01</v>
      </c>
      <c r="X80" s="148">
        <f t="shared" si="2"/>
        <v>0.005</v>
      </c>
      <c r="Y80" s="148">
        <f t="shared" si="2"/>
        <v>0.005</v>
      </c>
      <c r="Z80" s="148">
        <f t="shared" si="2"/>
        <v>0.0033333333333333335</v>
      </c>
      <c r="AA80" s="148">
        <f t="shared" si="2"/>
        <v>0.04</v>
      </c>
      <c r="AB80" s="148">
        <f t="shared" si="2"/>
        <v>8.766666666666667</v>
      </c>
      <c r="AC80" s="149">
        <f t="shared" si="2"/>
        <v>0.075</v>
      </c>
      <c r="AD80" s="149">
        <f t="shared" si="2"/>
        <v>0.0002666666666666666</v>
      </c>
      <c r="AE80" s="149">
        <f t="shared" si="2"/>
        <v>-0.01</v>
      </c>
      <c r="AF80" s="149">
        <f t="shared" si="2"/>
        <v>0.001</v>
      </c>
      <c r="AG80" s="149">
        <f t="shared" si="2"/>
        <v>0.005</v>
      </c>
      <c r="AH80" s="149">
        <f t="shared" si="2"/>
        <v>0.013333333333333334</v>
      </c>
      <c r="AI80" s="25"/>
      <c r="AJ80" s="25"/>
    </row>
    <row r="81" spans="1:36" ht="12.75" hidden="1">
      <c r="A81" s="150">
        <v>35900.38888888889</v>
      </c>
      <c r="B81" s="151">
        <v>35900.38888888889</v>
      </c>
      <c r="C81" s="135">
        <v>1</v>
      </c>
      <c r="D81" s="135">
        <v>11</v>
      </c>
      <c r="E81" s="135">
        <v>2.5</v>
      </c>
      <c r="F81" s="135">
        <v>8.4</v>
      </c>
      <c r="G81" s="136">
        <v>314</v>
      </c>
      <c r="H81" s="135">
        <v>10.9</v>
      </c>
      <c r="I81" s="135">
        <v>9.2</v>
      </c>
      <c r="J81" s="137"/>
      <c r="K81" s="138">
        <v>3</v>
      </c>
      <c r="L81" s="138">
        <v>7.9</v>
      </c>
      <c r="M81" s="138">
        <v>0</v>
      </c>
      <c r="N81" s="138"/>
      <c r="O81" s="138">
        <v>120</v>
      </c>
      <c r="P81" s="139">
        <v>0.2</v>
      </c>
      <c r="Q81" s="139">
        <v>0.005</v>
      </c>
      <c r="R81" s="139">
        <v>0.01</v>
      </c>
      <c r="S81" s="138">
        <v>5</v>
      </c>
      <c r="T81" s="138"/>
      <c r="U81" s="138">
        <v>0.003</v>
      </c>
      <c r="V81" s="138">
        <v>34.2</v>
      </c>
      <c r="W81" s="138">
        <v>0.01</v>
      </c>
      <c r="X81" s="137"/>
      <c r="Y81" s="137"/>
      <c r="Z81" s="137"/>
      <c r="AA81" s="138">
        <v>0.04</v>
      </c>
      <c r="AB81" s="138">
        <v>8.3</v>
      </c>
      <c r="AC81" s="152"/>
      <c r="AD81" s="139">
        <v>0.0002</v>
      </c>
      <c r="AE81" s="152"/>
      <c r="AF81" s="138">
        <v>0.001</v>
      </c>
      <c r="AG81" s="152"/>
      <c r="AH81" s="152"/>
      <c r="AI81" s="25"/>
      <c r="AJ81" s="25"/>
    </row>
    <row r="82" spans="1:36" ht="12.75" hidden="1">
      <c r="A82" s="150">
        <v>35900.395833333336</v>
      </c>
      <c r="B82" s="151">
        <v>35900.395833333336</v>
      </c>
      <c r="C82" s="135">
        <v>1.25</v>
      </c>
      <c r="D82" s="135">
        <v>11</v>
      </c>
      <c r="E82" s="135">
        <v>2.5</v>
      </c>
      <c r="F82" s="135">
        <v>8.4</v>
      </c>
      <c r="G82" s="136">
        <v>314</v>
      </c>
      <c r="H82" s="135">
        <v>10.9</v>
      </c>
      <c r="I82" s="135">
        <v>9.2</v>
      </c>
      <c r="J82" s="137"/>
      <c r="K82" s="138">
        <v>3</v>
      </c>
      <c r="L82" s="138"/>
      <c r="M82" s="138">
        <v>0</v>
      </c>
      <c r="N82" s="138"/>
      <c r="O82" s="138">
        <v>119</v>
      </c>
      <c r="P82" s="139">
        <v>0.1</v>
      </c>
      <c r="Q82" s="139">
        <v>0.005</v>
      </c>
      <c r="R82" s="139">
        <v>0.01</v>
      </c>
      <c r="S82" s="138">
        <v>5</v>
      </c>
      <c r="T82" s="138"/>
      <c r="U82" s="138">
        <v>0.003</v>
      </c>
      <c r="V82" s="138">
        <v>34.1</v>
      </c>
      <c r="W82" s="138">
        <v>0.01</v>
      </c>
      <c r="X82" s="137"/>
      <c r="Y82" s="137"/>
      <c r="Z82" s="137"/>
      <c r="AA82" s="138">
        <v>0.04</v>
      </c>
      <c r="AB82" s="138">
        <v>8.3</v>
      </c>
      <c r="AC82" s="152"/>
      <c r="AD82" s="139">
        <v>0.0003</v>
      </c>
      <c r="AE82" s="152"/>
      <c r="AF82" s="138">
        <v>0.001</v>
      </c>
      <c r="AG82" s="152"/>
      <c r="AH82" s="152"/>
      <c r="AI82" s="25"/>
      <c r="AJ82" s="25"/>
    </row>
    <row r="83" spans="1:36" ht="12.75" hidden="1">
      <c r="A83" s="146">
        <v>35900.40625</v>
      </c>
      <c r="B83" s="147">
        <v>35900.40625</v>
      </c>
      <c r="C83" s="157">
        <v>10</v>
      </c>
      <c r="D83" s="157">
        <v>11</v>
      </c>
      <c r="E83" s="157">
        <v>2.5</v>
      </c>
      <c r="F83" s="157">
        <v>8.1</v>
      </c>
      <c r="G83" s="158">
        <v>315</v>
      </c>
      <c r="H83" s="157">
        <v>10.8</v>
      </c>
      <c r="I83" s="157">
        <v>9</v>
      </c>
      <c r="J83" s="159"/>
      <c r="K83" s="160">
        <v>3</v>
      </c>
      <c r="L83" s="160"/>
      <c r="M83" s="160">
        <v>1</v>
      </c>
      <c r="N83" s="160"/>
      <c r="O83" s="160">
        <v>121</v>
      </c>
      <c r="P83" s="161">
        <v>0.2</v>
      </c>
      <c r="Q83" s="161">
        <v>0.005</v>
      </c>
      <c r="R83" s="161">
        <v>0.01</v>
      </c>
      <c r="S83" s="160">
        <v>5</v>
      </c>
      <c r="T83" s="160"/>
      <c r="U83" s="138">
        <v>0.003</v>
      </c>
      <c r="V83" s="160">
        <v>34.5</v>
      </c>
      <c r="W83" s="138">
        <v>0.01</v>
      </c>
      <c r="X83" s="159"/>
      <c r="Y83" s="159"/>
      <c r="Z83" s="159"/>
      <c r="AA83" s="138">
        <v>0.04</v>
      </c>
      <c r="AB83" s="160">
        <v>8.4</v>
      </c>
      <c r="AC83" s="162"/>
      <c r="AD83" s="139">
        <v>0.0002</v>
      </c>
      <c r="AE83" s="162"/>
      <c r="AF83" s="138">
        <v>0.001</v>
      </c>
      <c r="AG83" s="162"/>
      <c r="AH83" s="162"/>
      <c r="AI83" s="25"/>
      <c r="AJ83" s="25"/>
    </row>
    <row r="84" spans="1:36" ht="12.75">
      <c r="A84" s="163" t="s">
        <v>346</v>
      </c>
      <c r="B84" s="164" t="s">
        <v>2</v>
      </c>
      <c r="C84" s="165"/>
      <c r="D84" s="148">
        <f aca="true" t="shared" si="3" ref="D84:I84">AVERAGE(D81:D83)</f>
        <v>11</v>
      </c>
      <c r="E84" s="148">
        <f t="shared" si="3"/>
        <v>2.5</v>
      </c>
      <c r="F84" s="148">
        <f t="shared" si="3"/>
        <v>8.299999999999999</v>
      </c>
      <c r="G84" s="148">
        <f t="shared" si="3"/>
        <v>314.3333333333333</v>
      </c>
      <c r="H84" s="148">
        <f t="shared" si="3"/>
        <v>10.866666666666667</v>
      </c>
      <c r="I84" s="148">
        <f t="shared" si="3"/>
        <v>9.133333333333333</v>
      </c>
      <c r="J84" s="148"/>
      <c r="K84" s="148">
        <f>AVERAGE(K81:K83)</f>
        <v>3</v>
      </c>
      <c r="L84" s="148">
        <f>AVERAGE(L81:L83)</f>
        <v>7.9</v>
      </c>
      <c r="M84" s="148">
        <f>AVERAGE(M81:M83)</f>
        <v>0.3333333333333333</v>
      </c>
      <c r="N84" s="148"/>
      <c r="O84" s="148">
        <f>AVERAGE(O81:O83)</f>
        <v>120</v>
      </c>
      <c r="P84" s="149">
        <f>AVERAGE(P81:P83)</f>
        <v>0.16666666666666666</v>
      </c>
      <c r="Q84" s="149">
        <f>AVERAGE(Q81:Q83)</f>
        <v>0.005</v>
      </c>
      <c r="R84" s="149">
        <f>AVERAGE(R81:R83)</f>
        <v>0.01</v>
      </c>
      <c r="S84" s="148">
        <f>AVERAGE(S81:S83)</f>
        <v>5</v>
      </c>
      <c r="T84" s="148"/>
      <c r="U84" s="148">
        <f>AVERAGE(U81:U83)</f>
        <v>0.0030000000000000005</v>
      </c>
      <c r="V84" s="148">
        <f>AVERAGE(V81:V83)</f>
        <v>34.26666666666667</v>
      </c>
      <c r="W84" s="148">
        <f>AVERAGE(W81:W83)</f>
        <v>0.01</v>
      </c>
      <c r="X84" s="148"/>
      <c r="Y84" s="148"/>
      <c r="Z84" s="148"/>
      <c r="AA84" s="148">
        <f>AVERAGE(AA81:AA83)</f>
        <v>0.04</v>
      </c>
      <c r="AB84" s="148">
        <f>AVERAGE(AB81:AB83)</f>
        <v>8.333333333333334</v>
      </c>
      <c r="AC84" s="149"/>
      <c r="AD84" s="149">
        <f>AVERAGE(AD81:AD83)</f>
        <v>0.00023333333333333333</v>
      </c>
      <c r="AE84" s="149"/>
      <c r="AF84" s="149">
        <f>AVERAGE(AF81:AF83)</f>
        <v>0.001</v>
      </c>
      <c r="AG84" s="149"/>
      <c r="AH84" s="149"/>
      <c r="AI84" s="25"/>
      <c r="AJ84" s="25"/>
    </row>
    <row r="85" spans="1:36" ht="12.75" hidden="1">
      <c r="A85" s="146">
        <v>35929.458333333336</v>
      </c>
      <c r="B85" s="147">
        <v>35929.458333333336</v>
      </c>
      <c r="C85" s="157">
        <v>1</v>
      </c>
      <c r="D85" s="157">
        <v>11</v>
      </c>
      <c r="E85" s="157">
        <v>2</v>
      </c>
      <c r="F85" s="157">
        <v>8.5</v>
      </c>
      <c r="G85" s="158">
        <v>199</v>
      </c>
      <c r="H85" s="157">
        <v>9.8</v>
      </c>
      <c r="I85" s="157">
        <v>14.3</v>
      </c>
      <c r="J85" s="160">
        <v>59</v>
      </c>
      <c r="K85" s="160">
        <v>3</v>
      </c>
      <c r="L85" s="160">
        <v>3.7</v>
      </c>
      <c r="M85" s="160">
        <v>7</v>
      </c>
      <c r="N85" s="160">
        <v>0.01</v>
      </c>
      <c r="O85" s="160">
        <v>78</v>
      </c>
      <c r="P85" s="161">
        <v>0.5</v>
      </c>
      <c r="Q85" s="161">
        <v>0.013</v>
      </c>
      <c r="R85" s="161">
        <v>0.04</v>
      </c>
      <c r="S85" s="160">
        <v>6</v>
      </c>
      <c r="T85" s="160">
        <v>-0.001</v>
      </c>
      <c r="U85" s="138">
        <v>0.003</v>
      </c>
      <c r="V85" s="160">
        <v>22.4</v>
      </c>
      <c r="W85" s="138">
        <v>0.01</v>
      </c>
      <c r="X85" s="145">
        <v>0.005</v>
      </c>
      <c r="Y85" s="145">
        <v>0.005</v>
      </c>
      <c r="Z85" s="160">
        <v>0.26</v>
      </c>
      <c r="AA85" s="138">
        <v>0.04</v>
      </c>
      <c r="AB85" s="160">
        <v>5.4</v>
      </c>
      <c r="AC85" s="161">
        <v>0.039</v>
      </c>
      <c r="AD85" s="161">
        <v>0.0007</v>
      </c>
      <c r="AE85" s="161">
        <v>-0.01</v>
      </c>
      <c r="AF85" s="138">
        <v>0.001</v>
      </c>
      <c r="AG85" s="155">
        <v>0.005</v>
      </c>
      <c r="AH85" s="161">
        <v>0.02</v>
      </c>
      <c r="AI85" s="25"/>
      <c r="AJ85" s="25"/>
    </row>
    <row r="86" spans="1:36" ht="12.75" hidden="1">
      <c r="A86" s="150">
        <v>35929.46875</v>
      </c>
      <c r="B86" s="151">
        <v>35929.46875</v>
      </c>
      <c r="C86" s="135">
        <v>1</v>
      </c>
      <c r="D86" s="135">
        <v>11</v>
      </c>
      <c r="E86" s="135">
        <v>2</v>
      </c>
      <c r="F86" s="135">
        <v>8.5</v>
      </c>
      <c r="G86" s="136">
        <v>199</v>
      </c>
      <c r="H86" s="135">
        <v>9.8</v>
      </c>
      <c r="I86" s="135">
        <v>14.3</v>
      </c>
      <c r="J86" s="138">
        <v>59</v>
      </c>
      <c r="K86" s="138">
        <v>3</v>
      </c>
      <c r="L86" s="138"/>
      <c r="M86" s="138">
        <v>15</v>
      </c>
      <c r="N86" s="138">
        <v>0.01</v>
      </c>
      <c r="O86" s="138">
        <v>75</v>
      </c>
      <c r="P86" s="139">
        <v>0.4</v>
      </c>
      <c r="Q86" s="139">
        <v>0.019</v>
      </c>
      <c r="R86" s="139">
        <v>0.05</v>
      </c>
      <c r="S86" s="138">
        <v>16</v>
      </c>
      <c r="T86" s="138">
        <v>-0.001</v>
      </c>
      <c r="U86" s="138">
        <v>0.003</v>
      </c>
      <c r="V86" s="138">
        <v>21.6</v>
      </c>
      <c r="W86" s="138">
        <v>0.01</v>
      </c>
      <c r="X86" s="145">
        <v>0.005</v>
      </c>
      <c r="Y86" s="145">
        <v>0.005</v>
      </c>
      <c r="Z86" s="138">
        <v>0.28</v>
      </c>
      <c r="AA86" s="138">
        <v>0.04</v>
      </c>
      <c r="AB86" s="138">
        <v>5.2</v>
      </c>
      <c r="AC86" s="139">
        <v>0.041</v>
      </c>
      <c r="AD86" s="139">
        <v>0.0002</v>
      </c>
      <c r="AE86" s="139">
        <v>-0.01</v>
      </c>
      <c r="AF86" s="138">
        <v>0.001</v>
      </c>
      <c r="AG86" s="155">
        <v>0.005</v>
      </c>
      <c r="AH86" s="139">
        <v>0.02</v>
      </c>
      <c r="AI86" s="25"/>
      <c r="AJ86" s="25"/>
    </row>
    <row r="87" spans="1:36" ht="12.75" hidden="1">
      <c r="A87" s="146">
        <v>35929.479166666664</v>
      </c>
      <c r="B87" s="147">
        <v>35929.479166666664</v>
      </c>
      <c r="C87" s="157">
        <v>10</v>
      </c>
      <c r="D87" s="157">
        <v>11</v>
      </c>
      <c r="E87" s="157">
        <v>2</v>
      </c>
      <c r="F87" s="157">
        <v>8.4</v>
      </c>
      <c r="G87" s="158">
        <v>198</v>
      </c>
      <c r="H87" s="157">
        <v>9.5</v>
      </c>
      <c r="I87" s="157">
        <v>12.3</v>
      </c>
      <c r="J87" s="160">
        <v>61</v>
      </c>
      <c r="K87" s="160">
        <v>3</v>
      </c>
      <c r="L87" s="160"/>
      <c r="M87" s="160">
        <v>5</v>
      </c>
      <c r="N87" s="160">
        <v>0.01</v>
      </c>
      <c r="O87" s="160">
        <v>77</v>
      </c>
      <c r="P87" s="161">
        <v>0.4</v>
      </c>
      <c r="Q87" s="161">
        <v>0.015</v>
      </c>
      <c r="R87" s="161">
        <v>0.03</v>
      </c>
      <c r="S87" s="160">
        <v>8</v>
      </c>
      <c r="T87" s="160">
        <v>-0.001</v>
      </c>
      <c r="U87" s="138">
        <v>0.003</v>
      </c>
      <c r="V87" s="157">
        <v>22</v>
      </c>
      <c r="W87" s="138">
        <v>0.01</v>
      </c>
      <c r="X87" s="145">
        <v>0.005</v>
      </c>
      <c r="Y87" s="145">
        <v>0.005</v>
      </c>
      <c r="Z87" s="160">
        <v>0.24</v>
      </c>
      <c r="AA87" s="138">
        <v>0.04</v>
      </c>
      <c r="AB87" s="160">
        <v>5.4</v>
      </c>
      <c r="AC87" s="161">
        <v>0.038</v>
      </c>
      <c r="AD87" s="139">
        <v>0.0002</v>
      </c>
      <c r="AE87" s="161">
        <v>-0.01</v>
      </c>
      <c r="AF87" s="138">
        <v>0.001</v>
      </c>
      <c r="AG87" s="155">
        <v>0.005</v>
      </c>
      <c r="AH87" s="161">
        <v>0.02</v>
      </c>
      <c r="AI87" s="25"/>
      <c r="AJ87" s="25"/>
    </row>
    <row r="88" spans="1:36" ht="12.75">
      <c r="A88" s="163" t="s">
        <v>3</v>
      </c>
      <c r="B88" s="164" t="s">
        <v>3</v>
      </c>
      <c r="C88" s="165"/>
      <c r="D88" s="148">
        <f aca="true" t="shared" si="4" ref="D88:AH88">AVERAGE(D85:D87)</f>
        <v>11</v>
      </c>
      <c r="E88" s="148">
        <f t="shared" si="4"/>
        <v>2</v>
      </c>
      <c r="F88" s="148">
        <f t="shared" si="4"/>
        <v>8.466666666666667</v>
      </c>
      <c r="G88" s="148">
        <f t="shared" si="4"/>
        <v>198.66666666666666</v>
      </c>
      <c r="H88" s="148">
        <f t="shared" si="4"/>
        <v>9.700000000000001</v>
      </c>
      <c r="I88" s="148">
        <f t="shared" si="4"/>
        <v>13.633333333333335</v>
      </c>
      <c r="J88" s="148">
        <f t="shared" si="4"/>
        <v>59.666666666666664</v>
      </c>
      <c r="K88" s="148">
        <f t="shared" si="4"/>
        <v>3</v>
      </c>
      <c r="L88" s="148">
        <f t="shared" si="4"/>
        <v>3.7</v>
      </c>
      <c r="M88" s="148">
        <f t="shared" si="4"/>
        <v>9</v>
      </c>
      <c r="N88" s="148">
        <f t="shared" si="4"/>
        <v>0.01</v>
      </c>
      <c r="O88" s="148">
        <f t="shared" si="4"/>
        <v>76.66666666666667</v>
      </c>
      <c r="P88" s="149">
        <f t="shared" si="4"/>
        <v>0.43333333333333335</v>
      </c>
      <c r="Q88" s="149">
        <f t="shared" si="4"/>
        <v>0.015666666666666666</v>
      </c>
      <c r="R88" s="149">
        <f t="shared" si="4"/>
        <v>0.04</v>
      </c>
      <c r="S88" s="148">
        <f t="shared" si="4"/>
        <v>10</v>
      </c>
      <c r="T88" s="148">
        <f t="shared" si="4"/>
        <v>-0.001</v>
      </c>
      <c r="U88" s="148">
        <f t="shared" si="4"/>
        <v>0.0030000000000000005</v>
      </c>
      <c r="V88" s="148">
        <f t="shared" si="4"/>
        <v>22</v>
      </c>
      <c r="W88" s="148">
        <f t="shared" si="4"/>
        <v>0.01</v>
      </c>
      <c r="X88" s="148">
        <f t="shared" si="4"/>
        <v>0.005</v>
      </c>
      <c r="Y88" s="148">
        <f t="shared" si="4"/>
        <v>0.005</v>
      </c>
      <c r="Z88" s="148">
        <f t="shared" si="4"/>
        <v>0.26</v>
      </c>
      <c r="AA88" s="148">
        <f t="shared" si="4"/>
        <v>0.04</v>
      </c>
      <c r="AB88" s="148">
        <f t="shared" si="4"/>
        <v>5.333333333333333</v>
      </c>
      <c r="AC88" s="149">
        <f t="shared" si="4"/>
        <v>0.03933333333333333</v>
      </c>
      <c r="AD88" s="149">
        <f t="shared" si="4"/>
        <v>0.00036666666666666667</v>
      </c>
      <c r="AE88" s="149">
        <f t="shared" si="4"/>
        <v>-0.01</v>
      </c>
      <c r="AF88" s="149">
        <f t="shared" si="4"/>
        <v>0.001</v>
      </c>
      <c r="AG88" s="149">
        <f t="shared" si="4"/>
        <v>0.005</v>
      </c>
      <c r="AH88" s="149">
        <f t="shared" si="4"/>
        <v>0.02</v>
      </c>
      <c r="AI88" s="25"/>
      <c r="AJ88" s="25"/>
    </row>
    <row r="89" spans="1:36" ht="12.75" hidden="1">
      <c r="A89" s="150">
        <v>35956.48611111111</v>
      </c>
      <c r="B89" s="151">
        <v>35956.48611111111</v>
      </c>
      <c r="C89" s="135">
        <v>1</v>
      </c>
      <c r="D89" s="135">
        <v>11</v>
      </c>
      <c r="E89" s="135">
        <v>2</v>
      </c>
      <c r="F89" s="135">
        <v>7.9</v>
      </c>
      <c r="G89" s="136">
        <v>181</v>
      </c>
      <c r="H89" s="135">
        <v>9.5</v>
      </c>
      <c r="I89" s="135">
        <v>15.9</v>
      </c>
      <c r="J89" s="138"/>
      <c r="K89" s="138">
        <v>3</v>
      </c>
      <c r="L89" s="138">
        <v>5.1</v>
      </c>
      <c r="M89" s="138">
        <v>2</v>
      </c>
      <c r="N89" s="138"/>
      <c r="O89" s="138">
        <v>73</v>
      </c>
      <c r="P89" s="139">
        <v>0.5</v>
      </c>
      <c r="Q89" s="139">
        <v>0.005</v>
      </c>
      <c r="R89" s="139">
        <v>0.02</v>
      </c>
      <c r="S89" s="138">
        <v>5</v>
      </c>
      <c r="T89" s="138"/>
      <c r="U89" s="138">
        <v>0.003</v>
      </c>
      <c r="V89" s="138">
        <v>20.6</v>
      </c>
      <c r="W89" s="138">
        <v>0.01</v>
      </c>
      <c r="X89" s="138"/>
      <c r="Y89" s="138"/>
      <c r="Z89" s="138"/>
      <c r="AA89" s="138">
        <v>0.04</v>
      </c>
      <c r="AB89" s="138">
        <v>5.1</v>
      </c>
      <c r="AC89" s="139"/>
      <c r="AD89" s="139">
        <v>0.0004</v>
      </c>
      <c r="AE89" s="139"/>
      <c r="AF89" s="138">
        <v>0.001</v>
      </c>
      <c r="AG89" s="139"/>
      <c r="AH89" s="139"/>
      <c r="AI89" s="25"/>
      <c r="AJ89" s="25"/>
    </row>
    <row r="90" spans="1:36" ht="12.75" hidden="1">
      <c r="A90" s="150">
        <v>35956.48263888889</v>
      </c>
      <c r="B90" s="151">
        <v>35956.48263888889</v>
      </c>
      <c r="C90" s="135">
        <v>1</v>
      </c>
      <c r="D90" s="135">
        <v>11</v>
      </c>
      <c r="E90" s="135">
        <v>2</v>
      </c>
      <c r="F90" s="135">
        <v>7.9</v>
      </c>
      <c r="G90" s="136">
        <v>181</v>
      </c>
      <c r="H90" s="135">
        <v>9.5</v>
      </c>
      <c r="I90" s="135">
        <v>15.9</v>
      </c>
      <c r="J90" s="138"/>
      <c r="K90" s="138">
        <v>3</v>
      </c>
      <c r="L90" s="138"/>
      <c r="M90" s="138">
        <v>1</v>
      </c>
      <c r="N90" s="138"/>
      <c r="O90" s="138">
        <v>73</v>
      </c>
      <c r="P90" s="139">
        <v>0.4</v>
      </c>
      <c r="Q90" s="139">
        <v>0.005</v>
      </c>
      <c r="R90" s="139">
        <v>0.01</v>
      </c>
      <c r="S90" s="138">
        <v>5</v>
      </c>
      <c r="T90" s="138"/>
      <c r="U90" s="138">
        <v>0.003</v>
      </c>
      <c r="V90" s="138">
        <v>20.8</v>
      </c>
      <c r="W90" s="138">
        <v>0.01</v>
      </c>
      <c r="X90" s="138"/>
      <c r="Y90" s="138"/>
      <c r="Z90" s="138"/>
      <c r="AA90" s="138">
        <v>0.04</v>
      </c>
      <c r="AB90" s="138">
        <v>5.1</v>
      </c>
      <c r="AC90" s="139"/>
      <c r="AD90" s="139">
        <v>0.0002</v>
      </c>
      <c r="AE90" s="139"/>
      <c r="AF90" s="138">
        <v>0.001</v>
      </c>
      <c r="AG90" s="139"/>
      <c r="AH90" s="139"/>
      <c r="AI90" s="25"/>
      <c r="AJ90" s="25"/>
    </row>
    <row r="91" spans="1:36" ht="12.75" hidden="1">
      <c r="A91" s="146">
        <v>35956.479166666664</v>
      </c>
      <c r="B91" s="147">
        <v>35956.479166666664</v>
      </c>
      <c r="C91" s="157">
        <v>10</v>
      </c>
      <c r="D91" s="157">
        <v>11</v>
      </c>
      <c r="E91" s="157">
        <v>2</v>
      </c>
      <c r="F91" s="157">
        <v>7.7</v>
      </c>
      <c r="G91" s="158">
        <v>173</v>
      </c>
      <c r="H91" s="157">
        <v>8</v>
      </c>
      <c r="I91" s="157">
        <v>14.5</v>
      </c>
      <c r="J91" s="160"/>
      <c r="K91" s="160">
        <v>3</v>
      </c>
      <c r="L91" s="160"/>
      <c r="M91" s="160">
        <v>2</v>
      </c>
      <c r="N91" s="160"/>
      <c r="O91" s="160">
        <v>72</v>
      </c>
      <c r="P91" s="161">
        <v>0.4</v>
      </c>
      <c r="Q91" s="161">
        <v>0.012</v>
      </c>
      <c r="R91" s="161">
        <v>0.02</v>
      </c>
      <c r="S91" s="160">
        <v>5</v>
      </c>
      <c r="T91" s="160"/>
      <c r="U91" s="138">
        <v>0.003</v>
      </c>
      <c r="V91" s="160">
        <v>20.3</v>
      </c>
      <c r="W91" s="138">
        <v>0.01</v>
      </c>
      <c r="X91" s="160"/>
      <c r="Y91" s="160"/>
      <c r="Z91" s="160"/>
      <c r="AA91" s="138">
        <v>0.04</v>
      </c>
      <c r="AB91" s="160">
        <v>5.1</v>
      </c>
      <c r="AC91" s="161"/>
      <c r="AD91" s="139">
        <v>0.0002</v>
      </c>
      <c r="AE91" s="161"/>
      <c r="AF91" s="138">
        <v>0.001</v>
      </c>
      <c r="AG91" s="161"/>
      <c r="AH91" s="161"/>
      <c r="AI91" s="25"/>
      <c r="AJ91" s="25"/>
    </row>
    <row r="92" spans="1:36" ht="12.75">
      <c r="A92" s="146" t="s">
        <v>347</v>
      </c>
      <c r="B92" s="147" t="s">
        <v>4</v>
      </c>
      <c r="C92" s="157"/>
      <c r="D92" s="148">
        <f aca="true" t="shared" si="5" ref="D92:I92">AVERAGE(D89:D91)</f>
        <v>11</v>
      </c>
      <c r="E92" s="148">
        <f t="shared" si="5"/>
        <v>2</v>
      </c>
      <c r="F92" s="148">
        <f t="shared" si="5"/>
        <v>7.833333333333333</v>
      </c>
      <c r="G92" s="148">
        <f t="shared" si="5"/>
        <v>178.33333333333334</v>
      </c>
      <c r="H92" s="148">
        <f t="shared" si="5"/>
        <v>9</v>
      </c>
      <c r="I92" s="148">
        <f t="shared" si="5"/>
        <v>15.433333333333332</v>
      </c>
      <c r="J92" s="148"/>
      <c r="K92" s="148">
        <f>AVERAGE(K89:K91)</f>
        <v>3</v>
      </c>
      <c r="L92" s="148">
        <f>AVERAGE(L89:L91)</f>
        <v>5.1</v>
      </c>
      <c r="M92" s="148">
        <f>AVERAGE(M89:M91)</f>
        <v>1.6666666666666667</v>
      </c>
      <c r="N92" s="148"/>
      <c r="O92" s="148">
        <f>AVERAGE(O89:O91)</f>
        <v>72.66666666666667</v>
      </c>
      <c r="P92" s="149">
        <f>AVERAGE(P89:P91)</f>
        <v>0.43333333333333335</v>
      </c>
      <c r="Q92" s="149">
        <f>AVERAGE(Q89:Q91)</f>
        <v>0.007333333333333333</v>
      </c>
      <c r="R92" s="149">
        <f>AVERAGE(R89:R91)</f>
        <v>0.016666666666666666</v>
      </c>
      <c r="S92" s="148">
        <f>AVERAGE(S89:S91)</f>
        <v>5</v>
      </c>
      <c r="T92" s="148"/>
      <c r="U92" s="148">
        <f>AVERAGE(U89:U91)</f>
        <v>0.0030000000000000005</v>
      </c>
      <c r="V92" s="148">
        <f>AVERAGE(V89:V91)</f>
        <v>20.566666666666666</v>
      </c>
      <c r="W92" s="148">
        <f>AVERAGE(W89:W91)</f>
        <v>0.01</v>
      </c>
      <c r="X92" s="148"/>
      <c r="Y92" s="148"/>
      <c r="Z92" s="148"/>
      <c r="AA92" s="148">
        <f>AVERAGE(AA89:AA91)</f>
        <v>0.04</v>
      </c>
      <c r="AB92" s="148">
        <f>AVERAGE(AB89:AB91)</f>
        <v>5.1</v>
      </c>
      <c r="AC92" s="149"/>
      <c r="AD92" s="149">
        <f>AVERAGE(AD89:AD91)</f>
        <v>0.0002666666666666667</v>
      </c>
      <c r="AE92" s="149"/>
      <c r="AF92" s="149">
        <f>AVERAGE(AF89:AF91)</f>
        <v>0.001</v>
      </c>
      <c r="AG92" s="149"/>
      <c r="AH92" s="149"/>
      <c r="AI92" s="25"/>
      <c r="AJ92" s="25"/>
    </row>
    <row r="93" spans="1:36" ht="12.75" hidden="1">
      <c r="A93" s="150">
        <v>35985.444444444445</v>
      </c>
      <c r="B93" s="151">
        <v>35985.444444444445</v>
      </c>
      <c r="C93" s="135">
        <v>1</v>
      </c>
      <c r="D93" s="135">
        <v>11</v>
      </c>
      <c r="E93" s="135">
        <v>3</v>
      </c>
      <c r="F93" s="135">
        <v>7.9</v>
      </c>
      <c r="G93" s="136">
        <v>212</v>
      </c>
      <c r="H93" s="135">
        <v>11.8</v>
      </c>
      <c r="I93" s="135">
        <v>21.4</v>
      </c>
      <c r="J93" s="138">
        <v>61</v>
      </c>
      <c r="K93" s="138">
        <v>3</v>
      </c>
      <c r="L93" s="138">
        <v>3.7</v>
      </c>
      <c r="M93" s="138">
        <v>0</v>
      </c>
      <c r="N93" s="138">
        <v>0.01</v>
      </c>
      <c r="O93" s="138">
        <v>82</v>
      </c>
      <c r="P93" s="139">
        <v>0.2</v>
      </c>
      <c r="Q93" s="139">
        <v>0.007</v>
      </c>
      <c r="R93" s="139">
        <v>0.01</v>
      </c>
      <c r="S93" s="138">
        <v>10</v>
      </c>
      <c r="T93" s="138">
        <v>-0.001</v>
      </c>
      <c r="U93" s="138">
        <v>0.003</v>
      </c>
      <c r="V93" s="138">
        <v>23.3</v>
      </c>
      <c r="W93" s="138">
        <v>0.01</v>
      </c>
      <c r="X93" s="138"/>
      <c r="Y93" s="138"/>
      <c r="Z93" s="138">
        <v>0.06</v>
      </c>
      <c r="AA93" s="138">
        <v>0.04</v>
      </c>
      <c r="AB93" s="138">
        <v>5.8</v>
      </c>
      <c r="AC93" s="139">
        <v>0.023</v>
      </c>
      <c r="AD93" s="139">
        <v>0.0007</v>
      </c>
      <c r="AE93" s="139">
        <v>-0.01</v>
      </c>
      <c r="AF93" s="138">
        <v>0.001</v>
      </c>
      <c r="AG93" s="155">
        <v>0.005</v>
      </c>
      <c r="AH93" s="139">
        <v>0.02</v>
      </c>
      <c r="AI93" s="25"/>
      <c r="AJ93" s="25"/>
    </row>
    <row r="94" spans="1:36" ht="12.75" hidden="1">
      <c r="A94" s="150">
        <v>35985.45138888889</v>
      </c>
      <c r="B94" s="151">
        <v>35985.45138888889</v>
      </c>
      <c r="C94" s="135">
        <v>1.5</v>
      </c>
      <c r="D94" s="135">
        <v>11</v>
      </c>
      <c r="E94" s="135">
        <v>3</v>
      </c>
      <c r="F94" s="135">
        <v>7.9</v>
      </c>
      <c r="G94" s="136">
        <v>211</v>
      </c>
      <c r="H94" s="135">
        <v>11.6</v>
      </c>
      <c r="I94" s="135">
        <v>21.5</v>
      </c>
      <c r="J94" s="138">
        <v>63</v>
      </c>
      <c r="K94" s="138">
        <v>3</v>
      </c>
      <c r="L94" s="138"/>
      <c r="M94" s="138">
        <v>1</v>
      </c>
      <c r="N94" s="138">
        <v>0.01</v>
      </c>
      <c r="O94" s="138">
        <v>85</v>
      </c>
      <c r="P94" s="139">
        <v>0.3</v>
      </c>
      <c r="Q94" s="139">
        <v>0.008</v>
      </c>
      <c r="R94" s="139">
        <v>0.01</v>
      </c>
      <c r="S94" s="138">
        <v>10</v>
      </c>
      <c r="T94" s="138">
        <v>-0.001</v>
      </c>
      <c r="U94" s="138">
        <v>0.003</v>
      </c>
      <c r="V94" s="138">
        <v>24.1</v>
      </c>
      <c r="W94" s="138">
        <v>0.01</v>
      </c>
      <c r="X94" s="138"/>
      <c r="Y94" s="138"/>
      <c r="Z94" s="138">
        <v>0.06</v>
      </c>
      <c r="AA94" s="138">
        <v>0.04</v>
      </c>
      <c r="AB94" s="138">
        <v>6</v>
      </c>
      <c r="AC94" s="139">
        <v>0.023</v>
      </c>
      <c r="AD94" s="139">
        <v>0.0002</v>
      </c>
      <c r="AE94" s="139">
        <v>-0.01</v>
      </c>
      <c r="AF94" s="139">
        <v>0.001</v>
      </c>
      <c r="AG94" s="155">
        <v>0.005</v>
      </c>
      <c r="AH94" s="139">
        <v>0.05</v>
      </c>
      <c r="AI94" s="25"/>
      <c r="AJ94" s="25"/>
    </row>
    <row r="95" spans="1:36" ht="12.75" hidden="1">
      <c r="A95" s="153">
        <v>35985.458333333336</v>
      </c>
      <c r="B95" s="154">
        <v>35985.458333333336</v>
      </c>
      <c r="C95" s="142">
        <v>10</v>
      </c>
      <c r="D95" s="142">
        <v>11</v>
      </c>
      <c r="E95" s="142">
        <v>3</v>
      </c>
      <c r="F95" s="142">
        <v>7.1</v>
      </c>
      <c r="G95" s="143">
        <v>206</v>
      </c>
      <c r="H95" s="142">
        <v>8.8</v>
      </c>
      <c r="I95" s="142">
        <v>18.1</v>
      </c>
      <c r="J95" s="145">
        <v>57</v>
      </c>
      <c r="K95" s="145">
        <v>3</v>
      </c>
      <c r="L95" s="145"/>
      <c r="M95" s="145">
        <v>2</v>
      </c>
      <c r="N95" s="145">
        <v>0.01</v>
      </c>
      <c r="O95" s="145">
        <v>84</v>
      </c>
      <c r="P95" s="155">
        <v>0.3</v>
      </c>
      <c r="Q95" s="155">
        <v>0.017</v>
      </c>
      <c r="R95" s="155">
        <v>-0.01</v>
      </c>
      <c r="S95" s="145">
        <v>12</v>
      </c>
      <c r="T95" s="145">
        <v>-0.001</v>
      </c>
      <c r="U95" s="138">
        <v>0.003</v>
      </c>
      <c r="V95" s="145">
        <v>24.1</v>
      </c>
      <c r="W95" s="138">
        <v>0.01</v>
      </c>
      <c r="X95" s="145"/>
      <c r="Y95" s="145"/>
      <c r="Z95" s="145">
        <v>0.08</v>
      </c>
      <c r="AA95" s="138">
        <v>0.04</v>
      </c>
      <c r="AB95" s="145">
        <v>5.7</v>
      </c>
      <c r="AC95" s="155">
        <v>0.006</v>
      </c>
      <c r="AD95" s="139">
        <v>0.0002</v>
      </c>
      <c r="AE95" s="155">
        <v>-0.01</v>
      </c>
      <c r="AF95" s="138">
        <v>0.001</v>
      </c>
      <c r="AG95" s="155">
        <v>0.005</v>
      </c>
      <c r="AH95" s="155">
        <v>0.03</v>
      </c>
      <c r="AI95" s="25"/>
      <c r="AJ95" s="25"/>
    </row>
    <row r="96" spans="1:36" ht="12.75" hidden="1">
      <c r="A96" s="150">
        <v>35998</v>
      </c>
      <c r="B96" s="151">
        <v>35998.42361111111</v>
      </c>
      <c r="C96" s="135">
        <v>1</v>
      </c>
      <c r="D96" s="135">
        <v>11</v>
      </c>
      <c r="E96" s="135">
        <v>3</v>
      </c>
      <c r="F96" s="135">
        <v>7.9</v>
      </c>
      <c r="G96" s="136">
        <v>207</v>
      </c>
      <c r="H96" s="135">
        <v>8.6</v>
      </c>
      <c r="I96" s="135">
        <v>22.5</v>
      </c>
      <c r="J96" s="166"/>
      <c r="K96" s="166"/>
      <c r="L96" s="136">
        <v>2.3</v>
      </c>
      <c r="M96" s="166"/>
      <c r="N96" s="166"/>
      <c r="O96" s="166"/>
      <c r="P96" s="139">
        <v>0.2</v>
      </c>
      <c r="Q96" s="139">
        <v>0.005</v>
      </c>
      <c r="R96" s="139">
        <v>0.01</v>
      </c>
      <c r="S96" s="138">
        <v>5</v>
      </c>
      <c r="T96" s="138"/>
      <c r="U96" s="138"/>
      <c r="V96" s="138"/>
      <c r="W96" s="138"/>
      <c r="X96" s="145">
        <v>0.005</v>
      </c>
      <c r="Y96" s="145">
        <v>0.005</v>
      </c>
      <c r="Z96" s="138"/>
      <c r="AA96" s="138"/>
      <c r="AB96" s="138"/>
      <c r="AC96" s="139"/>
      <c r="AD96" s="139"/>
      <c r="AE96" s="139"/>
      <c r="AF96" s="139"/>
      <c r="AG96" s="139"/>
      <c r="AH96" s="139"/>
      <c r="AI96" s="25"/>
      <c r="AJ96" s="25"/>
    </row>
    <row r="97" spans="1:36" ht="12.75" hidden="1">
      <c r="A97" s="150">
        <v>35998</v>
      </c>
      <c r="B97" s="151">
        <v>35998.416666666664</v>
      </c>
      <c r="C97" s="135">
        <v>1.5</v>
      </c>
      <c r="D97" s="135">
        <v>11</v>
      </c>
      <c r="E97" s="135">
        <v>3</v>
      </c>
      <c r="F97" s="135">
        <v>7.8</v>
      </c>
      <c r="G97" s="136">
        <v>207</v>
      </c>
      <c r="H97" s="135">
        <v>8.6</v>
      </c>
      <c r="I97" s="135">
        <v>22.4</v>
      </c>
      <c r="J97" s="166"/>
      <c r="K97" s="166"/>
      <c r="L97" s="166"/>
      <c r="M97" s="166"/>
      <c r="N97" s="166"/>
      <c r="O97" s="166"/>
      <c r="P97" s="139">
        <v>0.3</v>
      </c>
      <c r="Q97" s="139">
        <v>0.005</v>
      </c>
      <c r="R97" s="139">
        <v>0.02</v>
      </c>
      <c r="S97" s="138">
        <v>5</v>
      </c>
      <c r="T97" s="138"/>
      <c r="U97" s="138"/>
      <c r="V97" s="138"/>
      <c r="W97" s="138"/>
      <c r="X97" s="145">
        <v>0.005</v>
      </c>
      <c r="Y97" s="145">
        <v>0.005</v>
      </c>
      <c r="Z97" s="138"/>
      <c r="AA97" s="138"/>
      <c r="AB97" s="138"/>
      <c r="AC97" s="139"/>
      <c r="AD97" s="139"/>
      <c r="AE97" s="139"/>
      <c r="AF97" s="139"/>
      <c r="AG97" s="139"/>
      <c r="AH97" s="139"/>
      <c r="AI97" s="25"/>
      <c r="AJ97" s="25"/>
    </row>
    <row r="98" spans="1:36" ht="12.75" hidden="1">
      <c r="A98" s="153">
        <v>35998</v>
      </c>
      <c r="B98" s="154">
        <v>35998.40972222222</v>
      </c>
      <c r="C98" s="142">
        <v>10</v>
      </c>
      <c r="D98" s="142">
        <v>11</v>
      </c>
      <c r="E98" s="142">
        <v>3</v>
      </c>
      <c r="F98" s="142">
        <v>7.1</v>
      </c>
      <c r="G98" s="143">
        <v>200</v>
      </c>
      <c r="H98" s="142">
        <v>5.1</v>
      </c>
      <c r="I98" s="142">
        <v>17.9</v>
      </c>
      <c r="J98" s="167"/>
      <c r="K98" s="167"/>
      <c r="L98" s="167"/>
      <c r="M98" s="167"/>
      <c r="N98" s="167"/>
      <c r="O98" s="167"/>
      <c r="P98" s="155">
        <v>0.3</v>
      </c>
      <c r="Q98" s="155">
        <v>0.01</v>
      </c>
      <c r="R98" s="155">
        <v>0.02</v>
      </c>
      <c r="S98" s="145">
        <v>5</v>
      </c>
      <c r="T98" s="145"/>
      <c r="U98" s="145"/>
      <c r="V98" s="145"/>
      <c r="W98" s="145"/>
      <c r="X98" s="145">
        <v>0.005</v>
      </c>
      <c r="Y98" s="145">
        <v>0.005</v>
      </c>
      <c r="Z98" s="145"/>
      <c r="AA98" s="145"/>
      <c r="AB98" s="145"/>
      <c r="AC98" s="155"/>
      <c r="AD98" s="155"/>
      <c r="AE98" s="155"/>
      <c r="AF98" s="155"/>
      <c r="AG98" s="155"/>
      <c r="AH98" s="155"/>
      <c r="AI98" s="25"/>
      <c r="AJ98" s="25"/>
    </row>
    <row r="99" spans="1:36" ht="12.75">
      <c r="A99" s="146" t="s">
        <v>348</v>
      </c>
      <c r="B99" s="147" t="s">
        <v>5</v>
      </c>
      <c r="C99" s="157"/>
      <c r="D99" s="148">
        <f aca="true" t="shared" si="6" ref="D99:I99">AVERAGE(D96:D98)</f>
        <v>11</v>
      </c>
      <c r="E99" s="148">
        <f t="shared" si="6"/>
        <v>3</v>
      </c>
      <c r="F99" s="148">
        <f t="shared" si="6"/>
        <v>7.599999999999999</v>
      </c>
      <c r="G99" s="148">
        <f t="shared" si="6"/>
        <v>204.66666666666666</v>
      </c>
      <c r="H99" s="148">
        <f t="shared" si="6"/>
        <v>7.433333333333333</v>
      </c>
      <c r="I99" s="148">
        <f t="shared" si="6"/>
        <v>20.933333333333334</v>
      </c>
      <c r="J99" s="148"/>
      <c r="K99" s="148"/>
      <c r="L99" s="148">
        <f>AVERAGE(L96:L98)</f>
        <v>2.3</v>
      </c>
      <c r="M99" s="148"/>
      <c r="N99" s="148"/>
      <c r="O99" s="148"/>
      <c r="P99" s="149">
        <f>AVERAGE(P96:P98)</f>
        <v>0.26666666666666666</v>
      </c>
      <c r="Q99" s="149">
        <f>AVERAGE(Q96:Q98)</f>
        <v>0.006666666666666667</v>
      </c>
      <c r="R99" s="149">
        <f>AVERAGE(R96:R98)</f>
        <v>0.016666666666666666</v>
      </c>
      <c r="S99" s="148">
        <f>AVERAGE(S96:S98)</f>
        <v>5</v>
      </c>
      <c r="T99" s="148"/>
      <c r="U99" s="148"/>
      <c r="V99" s="148"/>
      <c r="W99" s="148"/>
      <c r="X99" s="148">
        <f>AVERAGE(X96:X98)</f>
        <v>0.005</v>
      </c>
      <c r="Y99" s="148">
        <f>AVERAGE(Y96:Y98)</f>
        <v>0.005</v>
      </c>
      <c r="Z99" s="160"/>
      <c r="AA99" s="160"/>
      <c r="AB99" s="160"/>
      <c r="AC99" s="161"/>
      <c r="AD99" s="161"/>
      <c r="AE99" s="161"/>
      <c r="AF99" s="161"/>
      <c r="AG99" s="161"/>
      <c r="AH99" s="161"/>
      <c r="AI99" s="25"/>
      <c r="AJ99" s="25"/>
    </row>
    <row r="100" spans="1:36" ht="12.75" hidden="1">
      <c r="A100" s="150">
        <v>36012.4375</v>
      </c>
      <c r="B100" s="151">
        <v>36012.4375</v>
      </c>
      <c r="C100" s="135">
        <v>1</v>
      </c>
      <c r="D100" s="135">
        <v>11</v>
      </c>
      <c r="E100" s="135">
        <v>3</v>
      </c>
      <c r="F100" s="135">
        <v>8</v>
      </c>
      <c r="G100" s="136">
        <v>209</v>
      </c>
      <c r="H100" s="135">
        <v>8.2</v>
      </c>
      <c r="I100" s="135">
        <v>20.5</v>
      </c>
      <c r="J100" s="168"/>
      <c r="K100" s="138">
        <v>3</v>
      </c>
      <c r="L100" s="138">
        <v>2.6</v>
      </c>
      <c r="M100" s="138">
        <v>12</v>
      </c>
      <c r="N100" s="138"/>
      <c r="O100" s="138">
        <v>89</v>
      </c>
      <c r="P100" s="139">
        <v>0.4</v>
      </c>
      <c r="Q100" s="139">
        <v>0.02</v>
      </c>
      <c r="R100" s="139">
        <v>0.02</v>
      </c>
      <c r="S100" s="138">
        <v>21</v>
      </c>
      <c r="T100" s="138"/>
      <c r="U100" s="138">
        <v>0.003</v>
      </c>
      <c r="V100" s="138">
        <v>25.6</v>
      </c>
      <c r="W100" s="138">
        <v>0.01</v>
      </c>
      <c r="X100" s="138"/>
      <c r="Y100" s="138"/>
      <c r="Z100" s="138"/>
      <c r="AA100" s="138">
        <v>0.04</v>
      </c>
      <c r="AB100" s="138">
        <v>6</v>
      </c>
      <c r="AC100" s="139"/>
      <c r="AD100" s="139">
        <v>0.0002</v>
      </c>
      <c r="AE100" s="139"/>
      <c r="AF100" s="138">
        <v>0.001</v>
      </c>
      <c r="AG100" s="139"/>
      <c r="AH100" s="139"/>
      <c r="AI100" s="25"/>
      <c r="AJ100" s="25"/>
    </row>
    <row r="101" spans="1:36" ht="12.75" hidden="1">
      <c r="A101" s="150">
        <v>36012.427083333336</v>
      </c>
      <c r="B101" s="151">
        <v>36012.427083333336</v>
      </c>
      <c r="C101" s="135">
        <v>1.5</v>
      </c>
      <c r="D101" s="135">
        <v>11</v>
      </c>
      <c r="E101" s="135">
        <v>3</v>
      </c>
      <c r="F101" s="135">
        <v>7.8</v>
      </c>
      <c r="G101" s="136">
        <v>209</v>
      </c>
      <c r="H101" s="135">
        <v>8.3</v>
      </c>
      <c r="I101" s="135">
        <v>20.2</v>
      </c>
      <c r="J101" s="168"/>
      <c r="K101" s="138">
        <v>3</v>
      </c>
      <c r="L101" s="138"/>
      <c r="M101" s="138">
        <v>9</v>
      </c>
      <c r="N101" s="138"/>
      <c r="O101" s="138">
        <v>89</v>
      </c>
      <c r="P101" s="139">
        <v>0.6</v>
      </c>
      <c r="Q101" s="139">
        <v>0.018</v>
      </c>
      <c r="R101" s="139">
        <v>0.03</v>
      </c>
      <c r="S101" s="138">
        <v>38</v>
      </c>
      <c r="T101" s="138"/>
      <c r="U101" s="138">
        <v>0.003</v>
      </c>
      <c r="V101" s="138">
        <v>25.8</v>
      </c>
      <c r="W101" s="138">
        <v>0.01</v>
      </c>
      <c r="X101" s="138"/>
      <c r="Y101" s="138"/>
      <c r="Z101" s="138"/>
      <c r="AA101" s="138">
        <v>0.04</v>
      </c>
      <c r="AB101" s="138">
        <v>6</v>
      </c>
      <c r="AC101" s="139"/>
      <c r="AD101" s="139">
        <v>0.0002</v>
      </c>
      <c r="AE101" s="139"/>
      <c r="AF101" s="138">
        <v>0.001</v>
      </c>
      <c r="AG101" s="139"/>
      <c r="AH101" s="139"/>
      <c r="AI101" s="25"/>
      <c r="AJ101" s="25"/>
    </row>
    <row r="102" spans="1:36" ht="12.75" hidden="1">
      <c r="A102" s="153">
        <v>36012.416666666664</v>
      </c>
      <c r="B102" s="154">
        <v>36012.416666666664</v>
      </c>
      <c r="C102" s="142">
        <v>10</v>
      </c>
      <c r="D102" s="142">
        <v>11</v>
      </c>
      <c r="E102" s="142">
        <v>3</v>
      </c>
      <c r="F102" s="142">
        <v>7.9</v>
      </c>
      <c r="G102" s="143">
        <v>209</v>
      </c>
      <c r="H102" s="142">
        <v>7.7</v>
      </c>
      <c r="I102" s="142">
        <v>19.8</v>
      </c>
      <c r="J102" s="169"/>
      <c r="K102" s="145">
        <v>6</v>
      </c>
      <c r="L102" s="145"/>
      <c r="M102" s="145">
        <v>80</v>
      </c>
      <c r="N102" s="145"/>
      <c r="O102" s="145">
        <v>86</v>
      </c>
      <c r="P102" s="155">
        <v>0.6</v>
      </c>
      <c r="Q102" s="155">
        <v>0.135</v>
      </c>
      <c r="R102" s="155">
        <v>0.13</v>
      </c>
      <c r="S102" s="145">
        <v>76</v>
      </c>
      <c r="T102" s="145"/>
      <c r="U102" s="138">
        <v>0.003</v>
      </c>
      <c r="V102" s="145">
        <v>24.2</v>
      </c>
      <c r="W102" s="138">
        <v>0.01</v>
      </c>
      <c r="X102" s="145"/>
      <c r="Y102" s="145"/>
      <c r="Z102" s="145"/>
      <c r="AA102" s="138">
        <v>0.04</v>
      </c>
      <c r="AB102" s="145">
        <v>6.3</v>
      </c>
      <c r="AC102" s="155"/>
      <c r="AD102" s="155">
        <v>0.0002</v>
      </c>
      <c r="AE102" s="155"/>
      <c r="AF102" s="138">
        <v>0.001</v>
      </c>
      <c r="AG102" s="155"/>
      <c r="AH102" s="155"/>
      <c r="AI102" s="25"/>
      <c r="AJ102" s="25"/>
    </row>
    <row r="103" spans="1:36" ht="12.75" hidden="1">
      <c r="A103" s="150">
        <v>36026.385416666664</v>
      </c>
      <c r="B103" s="151">
        <v>36026.385416666664</v>
      </c>
      <c r="C103" s="135">
        <v>1</v>
      </c>
      <c r="D103" s="135">
        <v>11</v>
      </c>
      <c r="E103" s="135">
        <v>3</v>
      </c>
      <c r="F103" s="135">
        <v>8</v>
      </c>
      <c r="G103" s="136">
        <v>229</v>
      </c>
      <c r="H103" s="135">
        <v>8</v>
      </c>
      <c r="I103" s="135">
        <v>20.6</v>
      </c>
      <c r="J103" s="168"/>
      <c r="K103" s="168"/>
      <c r="L103" s="136">
        <v>2.9</v>
      </c>
      <c r="M103" s="168"/>
      <c r="N103" s="168"/>
      <c r="O103" s="168"/>
      <c r="P103" s="170">
        <v>0.5</v>
      </c>
      <c r="Q103" s="139">
        <v>0.009</v>
      </c>
      <c r="R103" s="139">
        <v>0.01</v>
      </c>
      <c r="S103" s="138">
        <v>5</v>
      </c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9"/>
      <c r="AD103" s="139"/>
      <c r="AE103" s="139"/>
      <c r="AF103" s="139"/>
      <c r="AG103" s="139"/>
      <c r="AH103" s="139"/>
      <c r="AI103" s="25"/>
      <c r="AJ103" s="25"/>
    </row>
    <row r="104" spans="1:36" ht="12.75" hidden="1">
      <c r="A104" s="150">
        <v>36026.395833333336</v>
      </c>
      <c r="B104" s="151">
        <v>36026.395833333336</v>
      </c>
      <c r="C104" s="135">
        <v>1.5</v>
      </c>
      <c r="D104" s="135">
        <v>11</v>
      </c>
      <c r="E104" s="135">
        <v>3</v>
      </c>
      <c r="F104" s="135">
        <v>7.9</v>
      </c>
      <c r="G104" s="136">
        <v>229</v>
      </c>
      <c r="H104" s="135">
        <v>8.3</v>
      </c>
      <c r="I104" s="135">
        <v>20.6</v>
      </c>
      <c r="J104" s="168"/>
      <c r="K104" s="168"/>
      <c r="L104" s="136"/>
      <c r="M104" s="168"/>
      <c r="N104" s="168"/>
      <c r="O104" s="168"/>
      <c r="P104" s="139">
        <v>0.5</v>
      </c>
      <c r="Q104" s="139">
        <v>0.008</v>
      </c>
      <c r="R104" s="139">
        <v>0.01</v>
      </c>
      <c r="S104" s="138">
        <v>5</v>
      </c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9"/>
      <c r="AD104" s="139"/>
      <c r="AE104" s="139"/>
      <c r="AF104" s="139"/>
      <c r="AG104" s="139"/>
      <c r="AH104" s="139"/>
      <c r="AI104" s="25"/>
      <c r="AJ104" s="25"/>
    </row>
    <row r="105" spans="1:36" ht="12.75" hidden="1">
      <c r="A105" s="153">
        <v>36026.40625</v>
      </c>
      <c r="B105" s="154">
        <v>36026.40625</v>
      </c>
      <c r="C105" s="142">
        <v>10</v>
      </c>
      <c r="D105" s="142">
        <v>11</v>
      </c>
      <c r="E105" s="142">
        <v>3</v>
      </c>
      <c r="F105" s="142">
        <v>7.5</v>
      </c>
      <c r="G105" s="143">
        <v>223</v>
      </c>
      <c r="H105" s="142">
        <v>4.4</v>
      </c>
      <c r="I105" s="142">
        <v>18.1</v>
      </c>
      <c r="J105" s="169"/>
      <c r="K105" s="169"/>
      <c r="L105" s="143"/>
      <c r="M105" s="169"/>
      <c r="N105" s="169"/>
      <c r="O105" s="169"/>
      <c r="P105" s="155">
        <v>0.7</v>
      </c>
      <c r="Q105" s="155">
        <v>0.039</v>
      </c>
      <c r="R105" s="155">
        <v>0.01</v>
      </c>
      <c r="S105" s="145">
        <v>5</v>
      </c>
      <c r="T105" s="145"/>
      <c r="U105" s="145"/>
      <c r="V105" s="145"/>
      <c r="W105" s="145"/>
      <c r="X105" s="145"/>
      <c r="Y105" s="145"/>
      <c r="Z105" s="145"/>
      <c r="AA105" s="145"/>
      <c r="AB105" s="145"/>
      <c r="AC105" s="155"/>
      <c r="AD105" s="155"/>
      <c r="AE105" s="155"/>
      <c r="AF105" s="155"/>
      <c r="AG105" s="155"/>
      <c r="AH105" s="155"/>
      <c r="AI105" s="25"/>
      <c r="AJ105" s="25"/>
    </row>
    <row r="106" spans="1:36" ht="12.75">
      <c r="A106" s="146" t="s">
        <v>349</v>
      </c>
      <c r="B106" s="147" t="s">
        <v>6</v>
      </c>
      <c r="C106" s="157"/>
      <c r="D106" s="148">
        <f aca="true" t="shared" si="7" ref="D106:I106">AVERAGE(D103:D105)</f>
        <v>11</v>
      </c>
      <c r="E106" s="148">
        <f t="shared" si="7"/>
        <v>3</v>
      </c>
      <c r="F106" s="148">
        <f t="shared" si="7"/>
        <v>7.8</v>
      </c>
      <c r="G106" s="148">
        <f t="shared" si="7"/>
        <v>227</v>
      </c>
      <c r="H106" s="148">
        <f t="shared" si="7"/>
        <v>6.900000000000001</v>
      </c>
      <c r="I106" s="148">
        <f t="shared" si="7"/>
        <v>19.76666666666667</v>
      </c>
      <c r="J106" s="148"/>
      <c r="K106" s="148"/>
      <c r="L106" s="148">
        <f>AVERAGE(L103:L105)</f>
        <v>2.9</v>
      </c>
      <c r="M106" s="148"/>
      <c r="N106" s="148"/>
      <c r="O106" s="148"/>
      <c r="P106" s="149">
        <f>AVERAGE(P103:P105)</f>
        <v>0.5666666666666667</v>
      </c>
      <c r="Q106" s="149">
        <f>AVERAGE(Q103:Q105)</f>
        <v>0.018666666666666668</v>
      </c>
      <c r="R106" s="149">
        <f>AVERAGE(R103:R105)</f>
        <v>0.01</v>
      </c>
      <c r="S106" s="148">
        <f>AVERAGE(S103:S105)</f>
        <v>5</v>
      </c>
      <c r="T106" s="148"/>
      <c r="U106" s="160"/>
      <c r="V106" s="160"/>
      <c r="W106" s="160"/>
      <c r="X106" s="160"/>
      <c r="Y106" s="160"/>
      <c r="Z106" s="160"/>
      <c r="AA106" s="160"/>
      <c r="AB106" s="160"/>
      <c r="AC106" s="161"/>
      <c r="AD106" s="161"/>
      <c r="AE106" s="161"/>
      <c r="AF106" s="161"/>
      <c r="AG106" s="161"/>
      <c r="AH106" s="161"/>
      <c r="AI106" s="25"/>
      <c r="AJ106" s="25"/>
    </row>
    <row r="107" spans="1:36" ht="12.75" hidden="1">
      <c r="A107" s="150">
        <v>36041.42013888889</v>
      </c>
      <c r="B107" s="151">
        <v>36041.42013888889</v>
      </c>
      <c r="C107" s="135">
        <v>1</v>
      </c>
      <c r="D107" s="135">
        <v>10</v>
      </c>
      <c r="E107" s="135">
        <v>2.5</v>
      </c>
      <c r="F107" s="135">
        <v>8.2</v>
      </c>
      <c r="G107" s="136">
        <v>241</v>
      </c>
      <c r="H107" s="135">
        <v>9.3</v>
      </c>
      <c r="I107" s="135">
        <v>20.8</v>
      </c>
      <c r="J107" s="168"/>
      <c r="K107" s="138">
        <v>3</v>
      </c>
      <c r="L107" s="136">
        <v>1.7</v>
      </c>
      <c r="M107" s="138">
        <v>2</v>
      </c>
      <c r="N107" s="138"/>
      <c r="O107" s="138">
        <v>102</v>
      </c>
      <c r="P107" s="139">
        <v>0.1</v>
      </c>
      <c r="Q107" s="139">
        <v>0.006</v>
      </c>
      <c r="R107" s="139">
        <v>0.01</v>
      </c>
      <c r="S107" s="138">
        <v>6</v>
      </c>
      <c r="T107" s="138"/>
      <c r="U107" s="138">
        <v>0.003</v>
      </c>
      <c r="V107" s="138">
        <v>29.3</v>
      </c>
      <c r="W107" s="138">
        <v>0.01</v>
      </c>
      <c r="X107" s="138"/>
      <c r="Y107" s="138"/>
      <c r="Z107" s="138"/>
      <c r="AA107" s="138">
        <v>0.04</v>
      </c>
      <c r="AB107" s="138">
        <v>7</v>
      </c>
      <c r="AC107" s="139"/>
      <c r="AD107" s="139">
        <v>0.0002</v>
      </c>
      <c r="AE107" s="139"/>
      <c r="AF107" s="138">
        <v>0.001</v>
      </c>
      <c r="AG107" s="139"/>
      <c r="AH107" s="139"/>
      <c r="AI107" s="25"/>
      <c r="AJ107" s="25"/>
    </row>
    <row r="108" spans="1:36" ht="12.75" hidden="1">
      <c r="A108" s="150">
        <v>36041.416666666664</v>
      </c>
      <c r="B108" s="151">
        <v>36041.416666666664</v>
      </c>
      <c r="C108" s="135">
        <v>1.25</v>
      </c>
      <c r="D108" s="135">
        <v>10</v>
      </c>
      <c r="E108" s="135">
        <v>2.5</v>
      </c>
      <c r="F108" s="135">
        <v>8.2</v>
      </c>
      <c r="G108" s="136">
        <v>241</v>
      </c>
      <c r="H108" s="135">
        <v>9.3</v>
      </c>
      <c r="I108" s="135">
        <v>20.8</v>
      </c>
      <c r="J108" s="168"/>
      <c r="K108" s="138">
        <v>3</v>
      </c>
      <c r="L108" s="136"/>
      <c r="M108" s="138">
        <v>0</v>
      </c>
      <c r="N108" s="138"/>
      <c r="O108" s="138">
        <v>101</v>
      </c>
      <c r="P108" s="139">
        <v>0.4</v>
      </c>
      <c r="Q108" s="139">
        <v>0.005</v>
      </c>
      <c r="R108" s="139">
        <v>0.01</v>
      </c>
      <c r="S108" s="138">
        <v>5</v>
      </c>
      <c r="T108" s="138"/>
      <c r="U108" s="138">
        <v>0.003</v>
      </c>
      <c r="V108" s="135">
        <v>29</v>
      </c>
      <c r="W108" s="138">
        <v>0.01</v>
      </c>
      <c r="X108" s="138"/>
      <c r="Y108" s="138"/>
      <c r="Z108" s="138"/>
      <c r="AA108" s="138">
        <v>0.04</v>
      </c>
      <c r="AB108" s="138">
        <v>6.9</v>
      </c>
      <c r="AC108" s="139"/>
      <c r="AD108" s="139">
        <v>0.0002</v>
      </c>
      <c r="AE108" s="139"/>
      <c r="AF108" s="138">
        <v>0.001</v>
      </c>
      <c r="AG108" s="139"/>
      <c r="AH108" s="139"/>
      <c r="AI108" s="25"/>
      <c r="AJ108" s="25"/>
    </row>
    <row r="109" spans="1:36" ht="12.75" hidden="1">
      <c r="A109" s="153">
        <v>36041.40625</v>
      </c>
      <c r="B109" s="154">
        <v>36041.40625</v>
      </c>
      <c r="C109" s="142">
        <v>9</v>
      </c>
      <c r="D109" s="142">
        <v>10</v>
      </c>
      <c r="E109" s="142">
        <v>2.5</v>
      </c>
      <c r="F109" s="142">
        <v>7.5</v>
      </c>
      <c r="G109" s="143">
        <v>239</v>
      </c>
      <c r="H109" s="142">
        <v>4.6</v>
      </c>
      <c r="I109" s="142">
        <v>18.9</v>
      </c>
      <c r="J109" s="169"/>
      <c r="K109" s="145">
        <v>3</v>
      </c>
      <c r="L109" s="143"/>
      <c r="M109" s="145">
        <v>1</v>
      </c>
      <c r="N109" s="145"/>
      <c r="O109" s="145">
        <v>98</v>
      </c>
      <c r="P109" s="155">
        <v>0.4</v>
      </c>
      <c r="Q109" s="155">
        <v>0.023</v>
      </c>
      <c r="R109" s="155">
        <v>0.03</v>
      </c>
      <c r="S109" s="145">
        <v>6</v>
      </c>
      <c r="T109" s="145"/>
      <c r="U109" s="138">
        <v>0.003</v>
      </c>
      <c r="V109" s="145">
        <v>27.7</v>
      </c>
      <c r="W109" s="138">
        <v>0.01</v>
      </c>
      <c r="X109" s="145"/>
      <c r="Y109" s="145"/>
      <c r="Z109" s="145"/>
      <c r="AA109" s="138">
        <v>0.04</v>
      </c>
      <c r="AB109" s="145">
        <v>7.1</v>
      </c>
      <c r="AC109" s="155"/>
      <c r="AD109" s="139">
        <v>0.0002</v>
      </c>
      <c r="AE109" s="155"/>
      <c r="AF109" s="138">
        <v>0.001</v>
      </c>
      <c r="AG109" s="155"/>
      <c r="AH109" s="155"/>
      <c r="AI109" s="25"/>
      <c r="AJ109" s="25"/>
    </row>
    <row r="110" spans="1:36" ht="12.75" hidden="1">
      <c r="A110" s="150">
        <v>36054.399305555555</v>
      </c>
      <c r="B110" s="151">
        <v>36054.399305555555</v>
      </c>
      <c r="C110" s="135">
        <v>1</v>
      </c>
      <c r="D110" s="135">
        <v>9</v>
      </c>
      <c r="E110" s="135">
        <v>2</v>
      </c>
      <c r="F110" s="135">
        <v>8</v>
      </c>
      <c r="G110" s="136">
        <v>247</v>
      </c>
      <c r="H110" s="135">
        <v>8.9</v>
      </c>
      <c r="I110" s="135">
        <v>19.5</v>
      </c>
      <c r="J110" s="168"/>
      <c r="K110" s="168"/>
      <c r="L110" s="136">
        <v>4.3</v>
      </c>
      <c r="M110" s="136"/>
      <c r="N110" s="138"/>
      <c r="O110" s="138"/>
      <c r="P110" s="171">
        <v>1</v>
      </c>
      <c r="Q110" s="139">
        <v>0.005</v>
      </c>
      <c r="R110" s="139">
        <v>0.03</v>
      </c>
      <c r="S110" s="138">
        <v>6</v>
      </c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9"/>
      <c r="AD110" s="139"/>
      <c r="AE110" s="139"/>
      <c r="AF110" s="139"/>
      <c r="AG110" s="139"/>
      <c r="AH110" s="139"/>
      <c r="AI110" s="25"/>
      <c r="AJ110" s="25"/>
    </row>
    <row r="111" spans="1:36" ht="12.75" hidden="1">
      <c r="A111" s="150">
        <v>36054.395833333336</v>
      </c>
      <c r="B111" s="151">
        <v>36054.395833333336</v>
      </c>
      <c r="C111" s="135">
        <v>1</v>
      </c>
      <c r="D111" s="135">
        <v>9</v>
      </c>
      <c r="E111" s="135">
        <v>2</v>
      </c>
      <c r="F111" s="135">
        <v>8</v>
      </c>
      <c r="G111" s="136">
        <v>247</v>
      </c>
      <c r="H111" s="135">
        <v>8.9</v>
      </c>
      <c r="I111" s="135">
        <v>19.5</v>
      </c>
      <c r="J111" s="168"/>
      <c r="K111" s="168"/>
      <c r="L111" s="136"/>
      <c r="M111" s="136"/>
      <c r="N111" s="138"/>
      <c r="O111" s="138"/>
      <c r="P111" s="170">
        <v>0.2</v>
      </c>
      <c r="Q111" s="139">
        <v>0.005</v>
      </c>
      <c r="R111" s="139">
        <v>0.01</v>
      </c>
      <c r="S111" s="138">
        <v>14</v>
      </c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9"/>
      <c r="AD111" s="139"/>
      <c r="AE111" s="139"/>
      <c r="AF111" s="139"/>
      <c r="AG111" s="139"/>
      <c r="AH111" s="139"/>
      <c r="AI111" s="25"/>
      <c r="AJ111" s="25"/>
    </row>
    <row r="112" spans="1:36" ht="12.75" hidden="1">
      <c r="A112" s="153">
        <v>36054.39236111111</v>
      </c>
      <c r="B112" s="154">
        <v>36054.39236111111</v>
      </c>
      <c r="C112" s="142">
        <v>8</v>
      </c>
      <c r="D112" s="142">
        <v>9</v>
      </c>
      <c r="E112" s="142">
        <v>2</v>
      </c>
      <c r="F112" s="142">
        <v>7.7</v>
      </c>
      <c r="G112" s="143">
        <v>246</v>
      </c>
      <c r="H112" s="142">
        <v>8.1</v>
      </c>
      <c r="I112" s="142">
        <v>19.5</v>
      </c>
      <c r="J112" s="169"/>
      <c r="K112" s="169"/>
      <c r="L112" s="143"/>
      <c r="M112" s="143"/>
      <c r="N112" s="145"/>
      <c r="O112" s="145"/>
      <c r="P112" s="155">
        <v>0.2</v>
      </c>
      <c r="Q112" s="139">
        <v>0.005</v>
      </c>
      <c r="R112" s="155">
        <v>0.01</v>
      </c>
      <c r="S112" s="145">
        <v>20</v>
      </c>
      <c r="T112" s="145"/>
      <c r="U112" s="145"/>
      <c r="V112" s="145"/>
      <c r="W112" s="145"/>
      <c r="X112" s="145"/>
      <c r="Y112" s="145"/>
      <c r="Z112" s="145"/>
      <c r="AA112" s="145"/>
      <c r="AB112" s="145"/>
      <c r="AC112" s="155"/>
      <c r="AD112" s="155"/>
      <c r="AE112" s="155"/>
      <c r="AF112" s="155"/>
      <c r="AG112" s="155"/>
      <c r="AH112" s="155"/>
      <c r="AI112" s="25"/>
      <c r="AJ112" s="25"/>
    </row>
    <row r="113" spans="1:36" ht="12.75">
      <c r="A113" s="146" t="s">
        <v>350</v>
      </c>
      <c r="B113" s="147" t="s">
        <v>7</v>
      </c>
      <c r="C113" s="157"/>
      <c r="D113" s="148">
        <f aca="true" t="shared" si="8" ref="D113:I113">AVERAGE(D110:D112)</f>
        <v>9</v>
      </c>
      <c r="E113" s="148">
        <f t="shared" si="8"/>
        <v>2</v>
      </c>
      <c r="F113" s="148">
        <f t="shared" si="8"/>
        <v>7.8999999999999995</v>
      </c>
      <c r="G113" s="148">
        <f t="shared" si="8"/>
        <v>246.66666666666666</v>
      </c>
      <c r="H113" s="148">
        <f t="shared" si="8"/>
        <v>8.633333333333333</v>
      </c>
      <c r="I113" s="148">
        <f t="shared" si="8"/>
        <v>19.5</v>
      </c>
      <c r="J113" s="148"/>
      <c r="K113" s="148"/>
      <c r="L113" s="148">
        <f>AVERAGE(L110:L112)</f>
        <v>4.3</v>
      </c>
      <c r="M113" s="148"/>
      <c r="N113" s="148"/>
      <c r="O113" s="148"/>
      <c r="P113" s="149">
        <f>AVERAGE(P110:P112)</f>
        <v>0.4666666666666666</v>
      </c>
      <c r="Q113" s="149">
        <f>AVERAGE(Q110:Q112)</f>
        <v>0.005</v>
      </c>
      <c r="R113" s="149">
        <f>AVERAGE(R110:R112)</f>
        <v>0.016666666666666666</v>
      </c>
      <c r="S113" s="148">
        <f>AVERAGE(S110:S112)</f>
        <v>13.333333333333334</v>
      </c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9"/>
      <c r="AD113" s="149"/>
      <c r="AE113" s="149"/>
      <c r="AF113" s="149"/>
      <c r="AG113" s="149"/>
      <c r="AH113" s="149"/>
      <c r="AI113" s="25"/>
      <c r="AJ113" s="25"/>
    </row>
    <row r="114" spans="1:36" ht="12.75" hidden="1">
      <c r="A114" s="150">
        <v>36082.493055555555</v>
      </c>
      <c r="B114" s="151">
        <v>36082.493055555555</v>
      </c>
      <c r="C114" s="135">
        <v>1</v>
      </c>
      <c r="D114" s="135">
        <v>11</v>
      </c>
      <c r="E114" s="135">
        <v>1</v>
      </c>
      <c r="F114" s="135">
        <v>7.7</v>
      </c>
      <c r="G114" s="135">
        <v>269</v>
      </c>
      <c r="H114" s="172" t="s">
        <v>342</v>
      </c>
      <c r="I114" s="135">
        <v>13.6</v>
      </c>
      <c r="J114" s="138">
        <v>80</v>
      </c>
      <c r="K114" s="138">
        <v>2</v>
      </c>
      <c r="L114" s="136">
        <v>5</v>
      </c>
      <c r="M114" s="136">
        <v>0</v>
      </c>
      <c r="N114" s="138">
        <v>0.01</v>
      </c>
      <c r="O114" s="138">
        <v>104</v>
      </c>
      <c r="P114" s="139">
        <v>0.3</v>
      </c>
      <c r="Q114" s="139">
        <v>0.005</v>
      </c>
      <c r="R114" s="139">
        <v>0.01</v>
      </c>
      <c r="S114" s="138">
        <v>8</v>
      </c>
      <c r="T114" s="138">
        <v>-0.001</v>
      </c>
      <c r="U114" s="138">
        <v>0.003</v>
      </c>
      <c r="V114" s="135">
        <v>29</v>
      </c>
      <c r="W114" s="138">
        <v>0.01</v>
      </c>
      <c r="X114" s="145">
        <v>0.005</v>
      </c>
      <c r="Y114" s="145">
        <v>0.005</v>
      </c>
      <c r="Z114" s="138">
        <v>0.05</v>
      </c>
      <c r="AA114" s="138">
        <v>0.04</v>
      </c>
      <c r="AB114" s="138">
        <v>7.7</v>
      </c>
      <c r="AC114" s="139">
        <v>0.016</v>
      </c>
      <c r="AD114" s="139">
        <v>0.0003</v>
      </c>
      <c r="AE114" s="139">
        <v>-0.01</v>
      </c>
      <c r="AF114" s="138">
        <v>0.001</v>
      </c>
      <c r="AG114" s="155">
        <v>0.005</v>
      </c>
      <c r="AH114" s="139">
        <v>0.01</v>
      </c>
      <c r="AI114" s="25"/>
      <c r="AJ114" s="25"/>
    </row>
    <row r="115" spans="1:36" ht="12.75" hidden="1">
      <c r="A115" s="150">
        <v>36082.48263888889</v>
      </c>
      <c r="B115" s="151">
        <v>36082.48263888889</v>
      </c>
      <c r="C115" s="135">
        <v>0.5</v>
      </c>
      <c r="D115" s="135">
        <v>11</v>
      </c>
      <c r="E115" s="135">
        <v>1</v>
      </c>
      <c r="F115" s="135">
        <v>7.7</v>
      </c>
      <c r="G115" s="135">
        <v>269</v>
      </c>
      <c r="H115" s="172" t="s">
        <v>342</v>
      </c>
      <c r="I115" s="135">
        <v>13.5</v>
      </c>
      <c r="J115" s="138">
        <v>81</v>
      </c>
      <c r="K115" s="138">
        <v>2</v>
      </c>
      <c r="L115" s="136"/>
      <c r="M115" s="136">
        <v>0</v>
      </c>
      <c r="N115" s="138">
        <v>0.01</v>
      </c>
      <c r="O115" s="138">
        <v>106</v>
      </c>
      <c r="P115" s="139">
        <v>0.3</v>
      </c>
      <c r="Q115" s="139">
        <v>0.005</v>
      </c>
      <c r="R115" s="139">
        <v>0.01</v>
      </c>
      <c r="S115" s="138">
        <v>5</v>
      </c>
      <c r="T115" s="138">
        <v>0.001</v>
      </c>
      <c r="U115" s="138">
        <v>0.003</v>
      </c>
      <c r="V115" s="138">
        <v>29.4</v>
      </c>
      <c r="W115" s="138">
        <v>0.01</v>
      </c>
      <c r="X115" s="145">
        <v>0.005</v>
      </c>
      <c r="Y115" s="145">
        <v>0.005</v>
      </c>
      <c r="Z115" s="138">
        <v>0.06</v>
      </c>
      <c r="AA115" s="138">
        <v>0.04</v>
      </c>
      <c r="AB115" s="138">
        <v>7.8</v>
      </c>
      <c r="AC115" s="139">
        <v>0.015</v>
      </c>
      <c r="AD115" s="139">
        <v>0.0003</v>
      </c>
      <c r="AE115" s="139">
        <v>-0.01</v>
      </c>
      <c r="AF115" s="138">
        <v>0.001</v>
      </c>
      <c r="AG115" s="155">
        <v>0.005</v>
      </c>
      <c r="AH115" s="139">
        <v>0.02</v>
      </c>
      <c r="AI115" s="25"/>
      <c r="AJ115" s="25"/>
    </row>
    <row r="116" spans="1:36" ht="12.75" hidden="1">
      <c r="A116" s="153">
        <v>36082.47222222222</v>
      </c>
      <c r="B116" s="154">
        <v>36082.47222222222</v>
      </c>
      <c r="C116" s="142">
        <v>10</v>
      </c>
      <c r="D116" s="142">
        <v>11</v>
      </c>
      <c r="E116" s="142">
        <v>1</v>
      </c>
      <c r="F116" s="142">
        <v>7.5</v>
      </c>
      <c r="G116" s="142">
        <v>270</v>
      </c>
      <c r="H116" s="173" t="s">
        <v>342</v>
      </c>
      <c r="I116" s="142">
        <v>13.5</v>
      </c>
      <c r="J116" s="145">
        <v>80</v>
      </c>
      <c r="K116" s="145">
        <v>2</v>
      </c>
      <c r="L116" s="143"/>
      <c r="M116" s="143">
        <v>1</v>
      </c>
      <c r="N116" s="145">
        <v>0.01</v>
      </c>
      <c r="O116" s="145">
        <v>104</v>
      </c>
      <c r="P116" s="155">
        <v>0.6</v>
      </c>
      <c r="Q116" s="139">
        <v>0.005</v>
      </c>
      <c r="R116" s="155">
        <v>0.01</v>
      </c>
      <c r="S116" s="145">
        <v>5</v>
      </c>
      <c r="T116" s="145">
        <v>-0.001</v>
      </c>
      <c r="U116" s="138">
        <v>0.003</v>
      </c>
      <c r="V116" s="145">
        <v>29.1</v>
      </c>
      <c r="W116" s="138">
        <v>0.01</v>
      </c>
      <c r="X116" s="145">
        <v>0.005</v>
      </c>
      <c r="Y116" s="145">
        <v>0.005</v>
      </c>
      <c r="Z116" s="145">
        <v>0.05</v>
      </c>
      <c r="AA116" s="138">
        <v>0.04</v>
      </c>
      <c r="AB116" s="145">
        <v>7.7</v>
      </c>
      <c r="AC116" s="155">
        <v>0.013</v>
      </c>
      <c r="AD116" s="155">
        <v>0.0002</v>
      </c>
      <c r="AE116" s="155">
        <v>-0.01</v>
      </c>
      <c r="AF116" s="138">
        <v>0.001</v>
      </c>
      <c r="AG116" s="155">
        <v>0.005</v>
      </c>
      <c r="AH116" s="155">
        <v>0.02</v>
      </c>
      <c r="AI116" s="25"/>
      <c r="AJ116" s="25"/>
    </row>
    <row r="117" spans="1:36" ht="12.75">
      <c r="A117" s="146" t="s">
        <v>351</v>
      </c>
      <c r="B117" s="147" t="s">
        <v>8</v>
      </c>
      <c r="C117" s="157"/>
      <c r="D117" s="148">
        <f>AVERAGE(D114:D116)</f>
        <v>11</v>
      </c>
      <c r="E117" s="148">
        <f>AVERAGE(E114:E116)</f>
        <v>1</v>
      </c>
      <c r="F117" s="148">
        <f>AVERAGE(F114:F116)</f>
        <v>7.633333333333333</v>
      </c>
      <c r="G117" s="148">
        <f>AVERAGE(G114:G116)</f>
        <v>269.3333333333333</v>
      </c>
      <c r="H117" s="148"/>
      <c r="I117" s="148">
        <f aca="true" t="shared" si="9" ref="I117:AH117">AVERAGE(I114:I116)</f>
        <v>13.533333333333333</v>
      </c>
      <c r="J117" s="148">
        <f t="shared" si="9"/>
        <v>80.33333333333333</v>
      </c>
      <c r="K117" s="148">
        <f t="shared" si="9"/>
        <v>2</v>
      </c>
      <c r="L117" s="148">
        <f t="shared" si="9"/>
        <v>5</v>
      </c>
      <c r="M117" s="148">
        <f t="shared" si="9"/>
        <v>0.3333333333333333</v>
      </c>
      <c r="N117" s="148">
        <f t="shared" si="9"/>
        <v>0.01</v>
      </c>
      <c r="O117" s="148">
        <f t="shared" si="9"/>
        <v>104.66666666666667</v>
      </c>
      <c r="P117" s="149">
        <f t="shared" si="9"/>
        <v>0.39999999999999997</v>
      </c>
      <c r="Q117" s="149">
        <f t="shared" si="9"/>
        <v>0.005</v>
      </c>
      <c r="R117" s="149">
        <f t="shared" si="9"/>
        <v>0.01</v>
      </c>
      <c r="S117" s="148">
        <f t="shared" si="9"/>
        <v>6</v>
      </c>
      <c r="T117" s="148">
        <f t="shared" si="9"/>
        <v>-0.0003333333333333333</v>
      </c>
      <c r="U117" s="148">
        <f t="shared" si="9"/>
        <v>0.0030000000000000005</v>
      </c>
      <c r="V117" s="148">
        <f t="shared" si="9"/>
        <v>29.166666666666668</v>
      </c>
      <c r="W117" s="148">
        <f t="shared" si="9"/>
        <v>0.01</v>
      </c>
      <c r="X117" s="148">
        <f t="shared" si="9"/>
        <v>0.005</v>
      </c>
      <c r="Y117" s="148">
        <f t="shared" si="9"/>
        <v>0.005</v>
      </c>
      <c r="Z117" s="148">
        <f t="shared" si="9"/>
        <v>0.05333333333333334</v>
      </c>
      <c r="AA117" s="148">
        <f t="shared" si="9"/>
        <v>0.04</v>
      </c>
      <c r="AB117" s="148">
        <f t="shared" si="9"/>
        <v>7.733333333333333</v>
      </c>
      <c r="AC117" s="149">
        <f t="shared" si="9"/>
        <v>0.014666666666666666</v>
      </c>
      <c r="AD117" s="149">
        <f t="shared" si="9"/>
        <v>0.0002666666666666666</v>
      </c>
      <c r="AE117" s="149">
        <f t="shared" si="9"/>
        <v>-0.01</v>
      </c>
      <c r="AF117" s="149">
        <f t="shared" si="9"/>
        <v>0.001</v>
      </c>
      <c r="AG117" s="149">
        <f t="shared" si="9"/>
        <v>0.005</v>
      </c>
      <c r="AH117" s="149">
        <f t="shared" si="9"/>
        <v>0.016666666666666666</v>
      </c>
      <c r="AI117" s="25"/>
      <c r="AJ117" s="25"/>
    </row>
    <row r="118" spans="1:36" ht="12.75" hidden="1">
      <c r="A118" s="150">
        <v>36110.40277777778</v>
      </c>
      <c r="B118" s="151">
        <v>36110.40277777778</v>
      </c>
      <c r="C118" s="135">
        <v>1</v>
      </c>
      <c r="D118" s="135">
        <v>11</v>
      </c>
      <c r="E118" s="135">
        <v>2</v>
      </c>
      <c r="F118" s="135">
        <v>8.2</v>
      </c>
      <c r="G118" s="136">
        <v>285</v>
      </c>
      <c r="H118" s="135">
        <v>11</v>
      </c>
      <c r="I118" s="135">
        <v>6.5</v>
      </c>
      <c r="J118" s="168"/>
      <c r="K118" s="138">
        <v>3</v>
      </c>
      <c r="L118" s="136">
        <v>11</v>
      </c>
      <c r="M118" s="136">
        <v>5</v>
      </c>
      <c r="N118" s="138"/>
      <c r="O118" s="138">
        <v>109</v>
      </c>
      <c r="P118" s="139">
        <v>0.1</v>
      </c>
      <c r="Q118" s="139">
        <v>0.009</v>
      </c>
      <c r="R118" s="139">
        <v>0.02</v>
      </c>
      <c r="S118" s="138">
        <v>8</v>
      </c>
      <c r="T118" s="138"/>
      <c r="U118" s="138">
        <v>0.003</v>
      </c>
      <c r="V118" s="138">
        <v>30.4</v>
      </c>
      <c r="W118" s="138">
        <v>0.01</v>
      </c>
      <c r="X118" s="138"/>
      <c r="Y118" s="138"/>
      <c r="Z118" s="138"/>
      <c r="AA118" s="138">
        <v>0.04</v>
      </c>
      <c r="AB118" s="138">
        <v>8.1</v>
      </c>
      <c r="AC118" s="139"/>
      <c r="AD118" s="139">
        <v>0.0003</v>
      </c>
      <c r="AE118" s="139"/>
      <c r="AF118" s="138">
        <v>0.001</v>
      </c>
      <c r="AG118" s="139"/>
      <c r="AH118" s="139"/>
      <c r="AI118" s="25"/>
      <c r="AJ118" s="25"/>
    </row>
    <row r="119" spans="1:36" ht="12.75" hidden="1">
      <c r="A119" s="150">
        <v>36110.40972222222</v>
      </c>
      <c r="B119" s="151">
        <v>36110.40972222222</v>
      </c>
      <c r="C119" s="135">
        <v>1</v>
      </c>
      <c r="D119" s="135">
        <v>11</v>
      </c>
      <c r="E119" s="135">
        <v>2</v>
      </c>
      <c r="F119" s="135">
        <v>8.2</v>
      </c>
      <c r="G119" s="136">
        <v>285</v>
      </c>
      <c r="H119" s="135">
        <v>11</v>
      </c>
      <c r="I119" s="135">
        <v>6.5</v>
      </c>
      <c r="J119" s="168"/>
      <c r="K119" s="138">
        <v>3</v>
      </c>
      <c r="L119" s="136"/>
      <c r="M119" s="136">
        <v>10</v>
      </c>
      <c r="N119" s="138"/>
      <c r="O119" s="138">
        <v>111</v>
      </c>
      <c r="P119" s="139">
        <v>0.1</v>
      </c>
      <c r="Q119" s="139">
        <v>0.01</v>
      </c>
      <c r="R119" s="139">
        <v>0.01</v>
      </c>
      <c r="S119" s="138">
        <v>6</v>
      </c>
      <c r="T119" s="138"/>
      <c r="U119" s="138">
        <v>0.003</v>
      </c>
      <c r="V119" s="138">
        <v>30.8</v>
      </c>
      <c r="W119" s="138">
        <v>0.01</v>
      </c>
      <c r="X119" s="138"/>
      <c r="Y119" s="138"/>
      <c r="Z119" s="138"/>
      <c r="AA119" s="138">
        <v>0.04</v>
      </c>
      <c r="AB119" s="138">
        <v>8.2</v>
      </c>
      <c r="AC119" s="139"/>
      <c r="AD119" s="139">
        <v>0.0002</v>
      </c>
      <c r="AE119" s="139"/>
      <c r="AF119" s="138">
        <v>0.001</v>
      </c>
      <c r="AG119" s="139"/>
      <c r="AH119" s="139"/>
      <c r="AI119" s="25"/>
      <c r="AJ119" s="25"/>
    </row>
    <row r="120" spans="1:36" ht="12.75" hidden="1">
      <c r="A120" s="153">
        <v>36110.416666666664</v>
      </c>
      <c r="B120" s="154">
        <v>36110.416666666664</v>
      </c>
      <c r="C120" s="142">
        <v>10</v>
      </c>
      <c r="D120" s="142">
        <v>11</v>
      </c>
      <c r="E120" s="142">
        <v>2</v>
      </c>
      <c r="F120" s="142">
        <v>7.9</v>
      </c>
      <c r="G120" s="143">
        <v>289</v>
      </c>
      <c r="H120" s="142">
        <v>11.4</v>
      </c>
      <c r="I120" s="142">
        <v>5.9</v>
      </c>
      <c r="J120" s="169"/>
      <c r="K120" s="145">
        <v>3</v>
      </c>
      <c r="L120" s="143"/>
      <c r="M120" s="143">
        <v>9</v>
      </c>
      <c r="N120" s="145"/>
      <c r="O120" s="145">
        <v>111</v>
      </c>
      <c r="P120" s="155">
        <v>0.1</v>
      </c>
      <c r="Q120" s="155">
        <v>0.011</v>
      </c>
      <c r="R120" s="155">
        <v>0.01</v>
      </c>
      <c r="S120" s="145">
        <v>8</v>
      </c>
      <c r="T120" s="145"/>
      <c r="U120" s="138">
        <v>0.003</v>
      </c>
      <c r="V120" s="142">
        <v>31</v>
      </c>
      <c r="W120" s="138">
        <v>0.01</v>
      </c>
      <c r="X120" s="145"/>
      <c r="Y120" s="145"/>
      <c r="Z120" s="145"/>
      <c r="AA120" s="138">
        <v>0.04</v>
      </c>
      <c r="AB120" s="145">
        <v>8.2</v>
      </c>
      <c r="AC120" s="155"/>
      <c r="AD120" s="139">
        <v>0.0002</v>
      </c>
      <c r="AE120" s="155"/>
      <c r="AF120" s="138">
        <v>0.001</v>
      </c>
      <c r="AG120" s="155"/>
      <c r="AH120" s="155"/>
      <c r="AI120" s="25"/>
      <c r="AJ120" s="25"/>
    </row>
    <row r="121" spans="1:36" ht="12.75">
      <c r="A121" s="146" t="s">
        <v>352</v>
      </c>
      <c r="B121" s="147" t="s">
        <v>9</v>
      </c>
      <c r="C121" s="157"/>
      <c r="D121" s="148">
        <f aca="true" t="shared" si="10" ref="D121:I121">AVERAGE(D118:D120)</f>
        <v>11</v>
      </c>
      <c r="E121" s="148">
        <f t="shared" si="10"/>
        <v>2</v>
      </c>
      <c r="F121" s="148">
        <f t="shared" si="10"/>
        <v>8.1</v>
      </c>
      <c r="G121" s="148">
        <f t="shared" si="10"/>
        <v>286.3333333333333</v>
      </c>
      <c r="H121" s="148">
        <f t="shared" si="10"/>
        <v>11.133333333333333</v>
      </c>
      <c r="I121" s="148">
        <f t="shared" si="10"/>
        <v>6.3</v>
      </c>
      <c r="J121" s="148"/>
      <c r="K121" s="148">
        <f>AVERAGE(K118:K120)</f>
        <v>3</v>
      </c>
      <c r="L121" s="148">
        <f>AVERAGE(L118:L120)</f>
        <v>11</v>
      </c>
      <c r="M121" s="148">
        <f>AVERAGE(M118:M120)</f>
        <v>8</v>
      </c>
      <c r="N121" s="148"/>
      <c r="O121" s="148">
        <f>AVERAGE(O118:O120)</f>
        <v>110.33333333333333</v>
      </c>
      <c r="P121" s="149">
        <f>AVERAGE(P118:P120)</f>
        <v>0.10000000000000002</v>
      </c>
      <c r="Q121" s="149">
        <f>AVERAGE(Q118:Q120)</f>
        <v>0.01</v>
      </c>
      <c r="R121" s="149">
        <f>AVERAGE(R118:R120)</f>
        <v>0.013333333333333334</v>
      </c>
      <c r="S121" s="148">
        <f>AVERAGE(S118:S120)</f>
        <v>7.333333333333333</v>
      </c>
      <c r="T121" s="148" t="s">
        <v>121</v>
      </c>
      <c r="U121" s="148">
        <f>AVERAGE(U118:U120)</f>
        <v>0.0030000000000000005</v>
      </c>
      <c r="V121" s="148">
        <f>AVERAGE(V118:V120)</f>
        <v>30.733333333333334</v>
      </c>
      <c r="W121" s="148">
        <f>AVERAGE(W118:W120)</f>
        <v>0.01</v>
      </c>
      <c r="X121" s="148" t="s">
        <v>121</v>
      </c>
      <c r="Y121" s="148"/>
      <c r="Z121" s="148"/>
      <c r="AA121" s="148">
        <f>AVERAGE(AA118:AA120)</f>
        <v>0.04</v>
      </c>
      <c r="AB121" s="148">
        <f>AVERAGE(AB118:AB120)</f>
        <v>8.166666666666666</v>
      </c>
      <c r="AC121" s="149"/>
      <c r="AD121" s="149">
        <f>AVERAGE(AD118:AD120)</f>
        <v>0.00023333333333333333</v>
      </c>
      <c r="AE121" s="149"/>
      <c r="AF121" s="149">
        <f>AVERAGE(AF118:AF120)</f>
        <v>0.001</v>
      </c>
      <c r="AG121" s="149"/>
      <c r="AH121" s="149"/>
      <c r="AI121" s="25"/>
      <c r="AJ121" s="25"/>
    </row>
    <row r="122" spans="1:36" ht="12.75" hidden="1">
      <c r="A122" s="150">
        <v>36137.40277777778</v>
      </c>
      <c r="B122" s="151">
        <v>36137.40277777778</v>
      </c>
      <c r="C122" s="135">
        <v>1</v>
      </c>
      <c r="D122" s="135">
        <v>11</v>
      </c>
      <c r="E122" s="135">
        <v>3</v>
      </c>
      <c r="F122" s="135">
        <v>8.3</v>
      </c>
      <c r="G122" s="136">
        <v>283</v>
      </c>
      <c r="H122" s="135">
        <v>12.3</v>
      </c>
      <c r="I122" s="135">
        <v>4.2</v>
      </c>
      <c r="J122" s="168"/>
      <c r="K122" s="138">
        <v>3</v>
      </c>
      <c r="L122" s="136">
        <v>5.9</v>
      </c>
      <c r="M122" s="136">
        <v>0</v>
      </c>
      <c r="N122" s="138"/>
      <c r="O122" s="138">
        <v>119</v>
      </c>
      <c r="P122" s="139">
        <v>0.2</v>
      </c>
      <c r="Q122" s="139">
        <v>0.005</v>
      </c>
      <c r="R122" s="139">
        <v>0.01</v>
      </c>
      <c r="S122" s="138">
        <v>6</v>
      </c>
      <c r="T122" s="138"/>
      <c r="U122" s="138">
        <v>0.003</v>
      </c>
      <c r="V122" s="138">
        <v>33.1</v>
      </c>
      <c r="W122" s="138">
        <v>0.01</v>
      </c>
      <c r="X122" s="138"/>
      <c r="Y122" s="138"/>
      <c r="Z122" s="138"/>
      <c r="AA122" s="138">
        <v>0.04</v>
      </c>
      <c r="AB122" s="138">
        <v>8.7</v>
      </c>
      <c r="AC122" s="139"/>
      <c r="AD122" s="139">
        <v>0.0002</v>
      </c>
      <c r="AE122" s="139"/>
      <c r="AF122" s="138">
        <v>0.001</v>
      </c>
      <c r="AG122" s="139"/>
      <c r="AH122" s="139"/>
      <c r="AI122" s="25"/>
      <c r="AJ122" s="25"/>
    </row>
    <row r="123" spans="1:36" ht="12.75" hidden="1">
      <c r="A123" s="150">
        <v>36137.413194444445</v>
      </c>
      <c r="B123" s="151">
        <v>36137.413194444445</v>
      </c>
      <c r="C123" s="135">
        <v>1.5</v>
      </c>
      <c r="D123" s="135">
        <v>11</v>
      </c>
      <c r="E123" s="135">
        <v>3</v>
      </c>
      <c r="F123" s="135">
        <v>8.3</v>
      </c>
      <c r="G123" s="136">
        <v>282</v>
      </c>
      <c r="H123" s="135">
        <v>12.3</v>
      </c>
      <c r="I123" s="135">
        <v>4.2</v>
      </c>
      <c r="J123" s="168"/>
      <c r="K123" s="138">
        <v>3</v>
      </c>
      <c r="L123" s="136"/>
      <c r="M123" s="136">
        <v>1</v>
      </c>
      <c r="N123" s="138"/>
      <c r="O123" s="138">
        <v>117</v>
      </c>
      <c r="P123" s="139">
        <v>0.2</v>
      </c>
      <c r="Q123" s="139">
        <v>0.005</v>
      </c>
      <c r="R123" s="139">
        <v>0.01</v>
      </c>
      <c r="S123" s="138">
        <v>5</v>
      </c>
      <c r="T123" s="138"/>
      <c r="U123" s="138">
        <v>0.003</v>
      </c>
      <c r="V123" s="138">
        <v>32.8</v>
      </c>
      <c r="W123" s="138">
        <v>0.01</v>
      </c>
      <c r="X123" s="138"/>
      <c r="Y123" s="138"/>
      <c r="Z123" s="138"/>
      <c r="AA123" s="138">
        <v>0.04</v>
      </c>
      <c r="AB123" s="138">
        <v>8.6</v>
      </c>
      <c r="AC123" s="139"/>
      <c r="AD123" s="139">
        <v>0.0002</v>
      </c>
      <c r="AE123" s="139"/>
      <c r="AF123" s="138">
        <v>0.001</v>
      </c>
      <c r="AG123" s="139"/>
      <c r="AH123" s="139"/>
      <c r="AI123" s="25"/>
      <c r="AJ123" s="25"/>
    </row>
    <row r="124" spans="1:36" ht="12.75" hidden="1">
      <c r="A124" s="150">
        <v>36137.42361111111</v>
      </c>
      <c r="B124" s="151">
        <v>36137.42361111111</v>
      </c>
      <c r="C124" s="135">
        <v>10</v>
      </c>
      <c r="D124" s="135">
        <v>11</v>
      </c>
      <c r="E124" s="135">
        <v>3</v>
      </c>
      <c r="F124" s="135">
        <v>7.8</v>
      </c>
      <c r="G124" s="136">
        <v>283</v>
      </c>
      <c r="H124" s="135">
        <v>12.4</v>
      </c>
      <c r="I124" s="135">
        <v>4.1</v>
      </c>
      <c r="J124" s="168"/>
      <c r="K124" s="138">
        <v>3</v>
      </c>
      <c r="L124" s="136"/>
      <c r="M124" s="136">
        <v>0</v>
      </c>
      <c r="N124" s="138"/>
      <c r="O124" s="138">
        <v>119</v>
      </c>
      <c r="P124" s="139">
        <v>0.2</v>
      </c>
      <c r="Q124" s="139">
        <v>0.005</v>
      </c>
      <c r="R124" s="139">
        <v>0.02</v>
      </c>
      <c r="S124" s="138">
        <v>8</v>
      </c>
      <c r="T124" s="138"/>
      <c r="U124" s="138">
        <v>0.003</v>
      </c>
      <c r="V124" s="138">
        <v>33.1</v>
      </c>
      <c r="W124" s="138">
        <v>0.01</v>
      </c>
      <c r="X124" s="138"/>
      <c r="Y124" s="138"/>
      <c r="Z124" s="138"/>
      <c r="AA124" s="138">
        <v>0.04</v>
      </c>
      <c r="AB124" s="138">
        <v>8.7</v>
      </c>
      <c r="AC124" s="139"/>
      <c r="AD124" s="139">
        <v>0.0002</v>
      </c>
      <c r="AE124" s="139"/>
      <c r="AF124" s="139">
        <v>0.001</v>
      </c>
      <c r="AG124" s="139"/>
      <c r="AH124" s="139"/>
      <c r="AI124" s="25"/>
      <c r="AJ124" s="25"/>
    </row>
    <row r="125" spans="1:36" ht="12.75">
      <c r="A125" s="174" t="s">
        <v>353</v>
      </c>
      <c r="B125" s="131" t="s">
        <v>10</v>
      </c>
      <c r="C125" s="107"/>
      <c r="D125" s="148">
        <f aca="true" t="shared" si="11" ref="D125:I125">AVERAGE(D122:D124)</f>
        <v>11</v>
      </c>
      <c r="E125" s="148">
        <f t="shared" si="11"/>
        <v>3</v>
      </c>
      <c r="F125" s="148">
        <f t="shared" si="11"/>
        <v>8.133333333333335</v>
      </c>
      <c r="G125" s="148">
        <f t="shared" si="11"/>
        <v>282.6666666666667</v>
      </c>
      <c r="H125" s="148">
        <f t="shared" si="11"/>
        <v>12.333333333333334</v>
      </c>
      <c r="I125" s="148">
        <f t="shared" si="11"/>
        <v>4.166666666666667</v>
      </c>
      <c r="J125" s="148"/>
      <c r="K125" s="148">
        <f>AVERAGE(K122:K124)</f>
        <v>3</v>
      </c>
      <c r="L125" s="148">
        <f>AVERAGE(L122:L124)</f>
        <v>5.9</v>
      </c>
      <c r="M125" s="148">
        <f>AVERAGE(M122:M124)</f>
        <v>0.3333333333333333</v>
      </c>
      <c r="N125" s="148"/>
      <c r="O125" s="148">
        <f>AVERAGE(O122:O124)</f>
        <v>118.33333333333333</v>
      </c>
      <c r="P125" s="149">
        <f>AVERAGE(P122:P124)</f>
        <v>0.20000000000000004</v>
      </c>
      <c r="Q125" s="149">
        <f>AVERAGE(Q122:Q124)</f>
        <v>0.005</v>
      </c>
      <c r="R125" s="149">
        <f>AVERAGE(R122:R124)</f>
        <v>0.013333333333333334</v>
      </c>
      <c r="S125" s="148">
        <f>AVERAGE(S122:S124)</f>
        <v>6.333333333333333</v>
      </c>
      <c r="T125" s="148" t="s">
        <v>121</v>
      </c>
      <c r="U125" s="148">
        <f>AVERAGE(U122:U124)</f>
        <v>0.0030000000000000005</v>
      </c>
      <c r="V125" s="148">
        <f>AVERAGE(V122:V124)</f>
        <v>33</v>
      </c>
      <c r="W125" s="148">
        <f>AVERAGE(W122:W124)</f>
        <v>0.01</v>
      </c>
      <c r="X125" s="148" t="s">
        <v>121</v>
      </c>
      <c r="Y125" s="148"/>
      <c r="Z125" s="148"/>
      <c r="AA125" s="148">
        <f>AVERAGE(AA122:AA124)</f>
        <v>0.04</v>
      </c>
      <c r="AB125" s="148">
        <f>AVERAGE(AB122:AB124)</f>
        <v>8.666666666666666</v>
      </c>
      <c r="AC125" s="149"/>
      <c r="AD125" s="149">
        <f>AVERAGE(AD122:AD124)</f>
        <v>0.0002</v>
      </c>
      <c r="AE125" s="149"/>
      <c r="AF125" s="149">
        <f>AVERAGE(AF122:AF124)</f>
        <v>0.001</v>
      </c>
      <c r="AG125" s="149"/>
      <c r="AH125" s="149"/>
      <c r="AI125" s="25"/>
      <c r="AJ125" s="25"/>
    </row>
    <row r="126" spans="1:36" ht="12.75">
      <c r="A126" s="254" t="s">
        <v>354</v>
      </c>
      <c r="B126" s="254"/>
      <c r="C126" s="107"/>
      <c r="D126" s="175">
        <f>AVERAGE(D69:D125)</f>
        <v>10.24561403508772</v>
      </c>
      <c r="E126" s="175">
        <f>AVERAGE(E69:E125)</f>
        <v>2.6228070175438596</v>
      </c>
      <c r="F126" s="175">
        <f>AVERAGE(F69:F125)</f>
        <v>8.01812865497076</v>
      </c>
      <c r="G126" s="175">
        <f>AVERAGE(G69:G125)</f>
        <v>253.67836257309943</v>
      </c>
      <c r="H126" s="175">
        <f aca="true" t="shared" si="12" ref="H126:T126">AVERAGE(H69:H125)</f>
        <v>9.715723270440252</v>
      </c>
      <c r="I126" s="175">
        <f t="shared" si="12"/>
        <v>12.71111111111111</v>
      </c>
      <c r="J126" s="175">
        <f t="shared" si="12"/>
        <v>74.19999999999999</v>
      </c>
      <c r="K126" s="175">
        <f t="shared" si="12"/>
        <v>3.2444444444444445</v>
      </c>
      <c r="L126" s="175">
        <f t="shared" si="12"/>
        <v>4.162962962962963</v>
      </c>
      <c r="M126" s="175">
        <f t="shared" si="12"/>
        <v>4.2444444444444445</v>
      </c>
      <c r="N126" s="175">
        <f t="shared" si="12"/>
        <v>0.01</v>
      </c>
      <c r="O126" s="175">
        <f t="shared" si="12"/>
        <v>103.58518518518515</v>
      </c>
      <c r="P126" s="176">
        <f t="shared" si="12"/>
        <v>0.33625730994152053</v>
      </c>
      <c r="Q126" s="176">
        <f t="shared" si="12"/>
        <v>0.010812865497076026</v>
      </c>
      <c r="R126" s="176">
        <f t="shared" si="12"/>
        <v>0.0168421052631579</v>
      </c>
      <c r="S126" s="175">
        <f t="shared" si="12"/>
        <v>10.713450292397662</v>
      </c>
      <c r="T126" s="176">
        <f t="shared" si="12"/>
        <v>-0.0008222222222222225</v>
      </c>
      <c r="U126" s="176">
        <f aca="true" t="shared" si="13" ref="U126:AH126">AVERAGE(U69:U125)</f>
        <v>0.0030000000000000022</v>
      </c>
      <c r="V126" s="176">
        <f t="shared" si="13"/>
        <v>29.10296296296296</v>
      </c>
      <c r="W126" s="176">
        <f t="shared" si="13"/>
        <v>0.010000000000000005</v>
      </c>
      <c r="X126" s="176">
        <f t="shared" si="13"/>
        <v>0.005</v>
      </c>
      <c r="Y126" s="176">
        <f t="shared" si="13"/>
        <v>0.005</v>
      </c>
      <c r="Z126" s="176">
        <f t="shared" si="13"/>
        <v>0.09777777777777778</v>
      </c>
      <c r="AA126" s="176">
        <f t="shared" si="13"/>
        <v>0.04000000000000002</v>
      </c>
      <c r="AB126" s="175">
        <f t="shared" si="13"/>
        <v>7.502222222222223</v>
      </c>
      <c r="AC126" s="176">
        <f t="shared" si="13"/>
        <v>0.03786666666666667</v>
      </c>
      <c r="AD126" s="177">
        <f t="shared" si="13"/>
        <v>0.0002496296296296297</v>
      </c>
      <c r="AE126" s="176">
        <f t="shared" si="13"/>
        <v>-0.01</v>
      </c>
      <c r="AF126" s="176">
        <f t="shared" si="13"/>
        <v>0.0010000000000000007</v>
      </c>
      <c r="AG126" s="176">
        <f t="shared" si="13"/>
        <v>0.005</v>
      </c>
      <c r="AH126" s="176">
        <f t="shared" si="13"/>
        <v>0.02</v>
      </c>
      <c r="AI126" s="25"/>
      <c r="AJ126" s="25"/>
    </row>
    <row r="127" spans="1:36" ht="12.75">
      <c r="A127" s="130"/>
      <c r="B127" s="130"/>
      <c r="C127" s="107"/>
      <c r="D127" s="175"/>
      <c r="E127" s="175">
        <f>AVERAGE(E89:E112)</f>
        <v>2.6458333333333335</v>
      </c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6"/>
      <c r="Q127" s="176"/>
      <c r="R127" s="176"/>
      <c r="S127" s="175"/>
      <c r="T127" s="176"/>
      <c r="U127" s="176"/>
      <c r="V127" s="176"/>
      <c r="W127" s="176"/>
      <c r="X127" s="176"/>
      <c r="Y127" s="176"/>
      <c r="Z127" s="176"/>
      <c r="AA127" s="176"/>
      <c r="AB127" s="175"/>
      <c r="AC127" s="176"/>
      <c r="AD127" s="177"/>
      <c r="AE127" s="176"/>
      <c r="AF127" s="176"/>
      <c r="AG127" s="176"/>
      <c r="AH127" s="176"/>
      <c r="AI127" s="25"/>
      <c r="AJ127" s="25"/>
    </row>
    <row r="128" spans="1:36" ht="11.25" customHeight="1">
      <c r="A128" s="130" t="s">
        <v>278</v>
      </c>
      <c r="B128" s="96"/>
      <c r="C128" s="96"/>
      <c r="D128" s="96"/>
      <c r="E128" s="99" t="s">
        <v>294</v>
      </c>
      <c r="F128" s="96"/>
      <c r="G128" s="96"/>
      <c r="H128" s="96"/>
      <c r="I128" s="96"/>
      <c r="J128" s="96"/>
      <c r="K128" s="99"/>
      <c r="L128" s="97">
        <f>AVERAGE(L89:L112)</f>
        <v>3.29</v>
      </c>
      <c r="M128" s="96"/>
      <c r="N128" s="96"/>
      <c r="O128" s="96"/>
      <c r="P128" s="96"/>
      <c r="Q128" s="96"/>
      <c r="R128" s="119">
        <f>AVERAGE(R89:R112)</f>
        <v>0.01930555555555556</v>
      </c>
      <c r="S128" s="96"/>
      <c r="T128" s="96"/>
      <c r="U128" s="99" t="s">
        <v>154</v>
      </c>
      <c r="V128" s="99"/>
      <c r="W128" s="96"/>
      <c r="X128" s="96"/>
      <c r="Y128" s="96"/>
      <c r="Z128" s="99" t="s">
        <v>295</v>
      </c>
      <c r="AA128" s="99" t="s">
        <v>295</v>
      </c>
      <c r="AB128" s="96"/>
      <c r="AC128" s="96"/>
      <c r="AD128" s="96"/>
      <c r="AE128" s="96"/>
      <c r="AF128" s="96"/>
      <c r="AG128" s="96"/>
      <c r="AH128" s="96"/>
      <c r="AI128" s="96"/>
      <c r="AJ128" s="96"/>
    </row>
    <row r="129" spans="1:36" ht="11.25" customHeight="1">
      <c r="A129" s="96"/>
      <c r="B129" s="96"/>
      <c r="C129" s="99" t="s">
        <v>356</v>
      </c>
      <c r="D129" s="96"/>
      <c r="E129" s="99" t="s">
        <v>299</v>
      </c>
      <c r="F129" s="96"/>
      <c r="G129" s="99" t="s">
        <v>300</v>
      </c>
      <c r="H129" s="96"/>
      <c r="I129" s="99" t="s">
        <v>301</v>
      </c>
      <c r="J129" s="99" t="s">
        <v>302</v>
      </c>
      <c r="K129" s="99" t="s">
        <v>303</v>
      </c>
      <c r="L129" s="99" t="s">
        <v>304</v>
      </c>
      <c r="M129" s="99"/>
      <c r="N129" s="99"/>
      <c r="O129" s="99" t="s">
        <v>357</v>
      </c>
      <c r="P129" s="99"/>
      <c r="Q129" s="99" t="s">
        <v>305</v>
      </c>
      <c r="R129" s="99" t="s">
        <v>305</v>
      </c>
      <c r="S129" s="99" t="s">
        <v>306</v>
      </c>
      <c r="T129" s="99" t="s">
        <v>307</v>
      </c>
      <c r="U129" s="99" t="s">
        <v>308</v>
      </c>
      <c r="V129" s="99" t="s">
        <v>309</v>
      </c>
      <c r="W129" s="102" t="s">
        <v>310</v>
      </c>
      <c r="X129" s="102" t="s">
        <v>311</v>
      </c>
      <c r="Y129" s="102" t="s">
        <v>312</v>
      </c>
      <c r="Z129" s="102" t="s">
        <v>313</v>
      </c>
      <c r="AA129" s="102" t="s">
        <v>314</v>
      </c>
      <c r="AB129" s="102" t="s">
        <v>315</v>
      </c>
      <c r="AC129" s="102" t="s">
        <v>316</v>
      </c>
      <c r="AD129" s="102" t="s">
        <v>317</v>
      </c>
      <c r="AE129" s="102" t="s">
        <v>358</v>
      </c>
      <c r="AF129" s="102" t="s">
        <v>319</v>
      </c>
      <c r="AG129" s="102" t="s">
        <v>320</v>
      </c>
      <c r="AH129" s="102" t="s">
        <v>321</v>
      </c>
      <c r="AI129" s="102" t="s">
        <v>322</v>
      </c>
      <c r="AJ129" s="102" t="s">
        <v>323</v>
      </c>
    </row>
    <row r="130" spans="1:36" ht="12.75">
      <c r="A130" s="96"/>
      <c r="B130" s="96"/>
      <c r="C130" s="99" t="s">
        <v>359</v>
      </c>
      <c r="D130" s="99" t="s">
        <v>298</v>
      </c>
      <c r="E130" s="99" t="s">
        <v>328</v>
      </c>
      <c r="F130" s="99" t="s">
        <v>329</v>
      </c>
      <c r="G130" s="99" t="s">
        <v>330</v>
      </c>
      <c r="H130" s="99" t="s">
        <v>331</v>
      </c>
      <c r="I130" s="99" t="s">
        <v>216</v>
      </c>
      <c r="J130" s="99" t="s">
        <v>332</v>
      </c>
      <c r="K130" s="99" t="s">
        <v>334</v>
      </c>
      <c r="L130" s="99" t="s">
        <v>335</v>
      </c>
      <c r="M130" s="99" t="s">
        <v>99</v>
      </c>
      <c r="N130" s="99" t="s">
        <v>360</v>
      </c>
      <c r="O130" s="99" t="s">
        <v>361</v>
      </c>
      <c r="P130" s="99" t="s">
        <v>361</v>
      </c>
      <c r="Q130" s="99" t="s">
        <v>362</v>
      </c>
      <c r="R130" s="99" t="s">
        <v>216</v>
      </c>
      <c r="S130" s="99" t="s">
        <v>336</v>
      </c>
      <c r="T130" s="99" t="s">
        <v>216</v>
      </c>
      <c r="U130" s="99" t="s">
        <v>216</v>
      </c>
      <c r="V130" s="99" t="s">
        <v>216</v>
      </c>
      <c r="W130" s="99" t="s">
        <v>330</v>
      </c>
      <c r="X130" s="99" t="s">
        <v>330</v>
      </c>
      <c r="Y130" s="99" t="s">
        <v>330</v>
      </c>
      <c r="Z130" s="99" t="s">
        <v>330</v>
      </c>
      <c r="AA130" s="99" t="s">
        <v>330</v>
      </c>
      <c r="AB130" s="99" t="s">
        <v>330</v>
      </c>
      <c r="AC130" s="99" t="s">
        <v>330</v>
      </c>
      <c r="AD130" s="99" t="s">
        <v>330</v>
      </c>
      <c r="AE130" s="99" t="s">
        <v>330</v>
      </c>
      <c r="AF130" s="99" t="s">
        <v>330</v>
      </c>
      <c r="AG130" s="99" t="s">
        <v>330</v>
      </c>
      <c r="AH130" s="99" t="s">
        <v>330</v>
      </c>
      <c r="AI130" s="99" t="s">
        <v>330</v>
      </c>
      <c r="AJ130" s="99" t="s">
        <v>330</v>
      </c>
    </row>
    <row r="131" spans="1:36" ht="12.75">
      <c r="A131" s="103" t="s">
        <v>337</v>
      </c>
      <c r="B131" s="103" t="s">
        <v>355</v>
      </c>
      <c r="C131" s="108" t="s">
        <v>363</v>
      </c>
      <c r="D131" s="103" t="s">
        <v>364</v>
      </c>
      <c r="E131" s="103" t="s">
        <v>339</v>
      </c>
      <c r="F131" s="103" t="s">
        <v>155</v>
      </c>
      <c r="G131" s="103" t="s">
        <v>156</v>
      </c>
      <c r="H131" s="103" t="s">
        <v>157</v>
      </c>
      <c r="I131" s="103" t="s">
        <v>156</v>
      </c>
      <c r="J131" s="103" t="s">
        <v>156</v>
      </c>
      <c r="K131" s="103" t="s">
        <v>158</v>
      </c>
      <c r="L131" s="103" t="s">
        <v>156</v>
      </c>
      <c r="M131" s="103" t="s">
        <v>100</v>
      </c>
      <c r="N131" s="103" t="s">
        <v>159</v>
      </c>
      <c r="O131" s="103" t="s">
        <v>159</v>
      </c>
      <c r="P131" s="103" t="s">
        <v>159</v>
      </c>
      <c r="Q131" s="103" t="s">
        <v>156</v>
      </c>
      <c r="R131" s="103" t="s">
        <v>156</v>
      </c>
      <c r="S131" s="106" t="s">
        <v>160</v>
      </c>
      <c r="T131" s="103" t="s">
        <v>160</v>
      </c>
      <c r="U131" s="103" t="s">
        <v>341</v>
      </c>
      <c r="V131" s="103" t="s">
        <v>156</v>
      </c>
      <c r="W131" s="103" t="s">
        <v>156</v>
      </c>
      <c r="X131" s="103" t="s">
        <v>156</v>
      </c>
      <c r="Y131" s="103" t="s">
        <v>156</v>
      </c>
      <c r="Z131" s="103" t="s">
        <v>156</v>
      </c>
      <c r="AA131" s="103" t="s">
        <v>156</v>
      </c>
      <c r="AB131" s="103" t="s">
        <v>156</v>
      </c>
      <c r="AC131" s="103" t="s">
        <v>156</v>
      </c>
      <c r="AD131" s="103" t="s">
        <v>156</v>
      </c>
      <c r="AE131" s="103" t="s">
        <v>156</v>
      </c>
      <c r="AF131" s="103" t="s">
        <v>156</v>
      </c>
      <c r="AG131" s="103" t="s">
        <v>156</v>
      </c>
      <c r="AH131" s="103" t="s">
        <v>156</v>
      </c>
      <c r="AI131" s="103" t="s">
        <v>156</v>
      </c>
      <c r="AJ131" s="103" t="s">
        <v>156</v>
      </c>
    </row>
    <row r="132" spans="1:36" ht="12.75">
      <c r="A132" s="133">
        <v>35809.45138888889</v>
      </c>
      <c r="B132" s="134" t="s">
        <v>277</v>
      </c>
      <c r="C132" s="136">
        <v>91</v>
      </c>
      <c r="D132" s="136">
        <v>7.8</v>
      </c>
      <c r="E132" s="136">
        <v>344</v>
      </c>
      <c r="F132" s="136"/>
      <c r="G132" s="136">
        <v>12.3</v>
      </c>
      <c r="H132" s="135">
        <v>0</v>
      </c>
      <c r="I132" s="137"/>
      <c r="J132" s="138">
        <v>6</v>
      </c>
      <c r="K132" s="138">
        <v>7</v>
      </c>
      <c r="L132" s="137"/>
      <c r="M132" s="138">
        <v>129</v>
      </c>
      <c r="N132" s="178">
        <v>0.6</v>
      </c>
      <c r="O132" s="138">
        <v>0.62</v>
      </c>
      <c r="P132" s="138">
        <v>0.01</v>
      </c>
      <c r="Q132" s="178">
        <v>0.05</v>
      </c>
      <c r="R132" s="138"/>
      <c r="S132" s="179">
        <v>0.016</v>
      </c>
      <c r="T132" s="138">
        <v>0.02</v>
      </c>
      <c r="U132" s="138">
        <v>24</v>
      </c>
      <c r="V132" s="138"/>
      <c r="W132" s="138">
        <v>0.003</v>
      </c>
      <c r="X132" s="135">
        <v>41.2</v>
      </c>
      <c r="Y132" s="138">
        <v>0.01</v>
      </c>
      <c r="Z132" s="138"/>
      <c r="AA132" s="138"/>
      <c r="AB132" s="138"/>
      <c r="AC132" s="138">
        <v>0.04</v>
      </c>
      <c r="AD132" s="138">
        <v>6.4</v>
      </c>
      <c r="AE132" s="138"/>
      <c r="AF132" s="138">
        <v>0.0002</v>
      </c>
      <c r="AG132" s="137"/>
      <c r="AH132" s="138">
        <v>0.001</v>
      </c>
      <c r="AI132" s="137"/>
      <c r="AJ132" s="137"/>
    </row>
    <row r="133" spans="1:36" ht="12.75">
      <c r="A133" s="133">
        <v>35837.3125</v>
      </c>
      <c r="B133" s="134" t="s">
        <v>0</v>
      </c>
      <c r="C133" s="136">
        <v>5</v>
      </c>
      <c r="D133" s="136">
        <v>7.4</v>
      </c>
      <c r="E133" s="136">
        <v>380</v>
      </c>
      <c r="F133" s="136"/>
      <c r="G133" s="136">
        <v>12.7</v>
      </c>
      <c r="H133" s="136">
        <v>-0.1</v>
      </c>
      <c r="I133" s="137"/>
      <c r="J133" s="138">
        <v>3</v>
      </c>
      <c r="K133" s="138">
        <v>5</v>
      </c>
      <c r="L133" s="137"/>
      <c r="M133" s="138">
        <v>135</v>
      </c>
      <c r="N133" s="138">
        <v>0.98</v>
      </c>
      <c r="O133" s="138">
        <v>0.99</v>
      </c>
      <c r="P133" s="138">
        <v>0.01</v>
      </c>
      <c r="Q133" s="178">
        <v>0.11</v>
      </c>
      <c r="R133" s="138"/>
      <c r="S133" s="179">
        <v>0.008</v>
      </c>
      <c r="T133" s="138">
        <v>0.01</v>
      </c>
      <c r="U133" s="138">
        <v>40</v>
      </c>
      <c r="V133" s="138"/>
      <c r="W133" s="138">
        <v>0.003</v>
      </c>
      <c r="X133" s="135">
        <v>43.4</v>
      </c>
      <c r="Y133" s="138">
        <v>0.01</v>
      </c>
      <c r="Z133" s="138"/>
      <c r="AA133" s="138"/>
      <c r="AB133" s="138"/>
      <c r="AC133" s="138">
        <v>0.04</v>
      </c>
      <c r="AD133" s="138">
        <v>6.5</v>
      </c>
      <c r="AE133" s="138"/>
      <c r="AF133" s="138">
        <v>0.0002</v>
      </c>
      <c r="AG133" s="137"/>
      <c r="AH133" s="138">
        <v>0.001</v>
      </c>
      <c r="AI133" s="137"/>
      <c r="AJ133" s="137"/>
    </row>
    <row r="134" spans="1:36" ht="12.75">
      <c r="A134" s="133">
        <v>35877.350694444445</v>
      </c>
      <c r="B134" s="134" t="s">
        <v>1</v>
      </c>
      <c r="C134" s="136">
        <v>38</v>
      </c>
      <c r="D134" s="136">
        <v>7.7</v>
      </c>
      <c r="E134" s="136">
        <v>325</v>
      </c>
      <c r="F134" s="136"/>
      <c r="G134" s="136">
        <v>11.1</v>
      </c>
      <c r="H134" s="136">
        <v>5.9</v>
      </c>
      <c r="I134" s="138">
        <v>85</v>
      </c>
      <c r="J134" s="138">
        <v>3</v>
      </c>
      <c r="K134" s="138">
        <v>24</v>
      </c>
      <c r="L134" s="138">
        <v>0.01</v>
      </c>
      <c r="M134" s="138">
        <v>114</v>
      </c>
      <c r="N134" s="138">
        <v>0.59</v>
      </c>
      <c r="O134" s="138">
        <v>0.59</v>
      </c>
      <c r="P134" s="138">
        <v>0.01</v>
      </c>
      <c r="Q134" s="178">
        <v>0.05</v>
      </c>
      <c r="R134" s="180">
        <v>1</v>
      </c>
      <c r="S134" s="179">
        <v>0.009</v>
      </c>
      <c r="T134" s="138">
        <v>0.13</v>
      </c>
      <c r="U134" s="138">
        <v>212</v>
      </c>
      <c r="V134" s="138">
        <v>0.001</v>
      </c>
      <c r="W134" s="138">
        <v>0.003</v>
      </c>
      <c r="X134" s="135">
        <v>36.4</v>
      </c>
      <c r="Y134" s="138">
        <v>0.01</v>
      </c>
      <c r="Z134" s="138">
        <v>0.005</v>
      </c>
      <c r="AA134" s="138">
        <v>0.005</v>
      </c>
      <c r="AB134" s="178">
        <v>0.16</v>
      </c>
      <c r="AC134" s="138">
        <v>0.04</v>
      </c>
      <c r="AD134" s="138">
        <v>5.7</v>
      </c>
      <c r="AE134" s="138">
        <v>0.021</v>
      </c>
      <c r="AF134" s="138">
        <v>0.0002</v>
      </c>
      <c r="AG134" s="138">
        <v>0.01</v>
      </c>
      <c r="AH134" s="138">
        <v>0.001</v>
      </c>
      <c r="AI134" s="138">
        <v>0.005</v>
      </c>
      <c r="AJ134" s="178">
        <v>0.04</v>
      </c>
    </row>
    <row r="135" spans="1:36" ht="12.75">
      <c r="A135" s="133">
        <v>35900.319444444445</v>
      </c>
      <c r="B135" s="134" t="s">
        <v>2</v>
      </c>
      <c r="C135" s="136">
        <v>190</v>
      </c>
      <c r="D135" s="136">
        <v>7.3</v>
      </c>
      <c r="E135" s="136">
        <v>188</v>
      </c>
      <c r="F135" s="136"/>
      <c r="G135" s="136">
        <v>12.3</v>
      </c>
      <c r="H135" s="136">
        <v>4.7</v>
      </c>
      <c r="I135" s="137"/>
      <c r="J135" s="138">
        <v>6</v>
      </c>
      <c r="K135" s="138">
        <v>270</v>
      </c>
      <c r="L135" s="138"/>
      <c r="M135" s="138">
        <v>64</v>
      </c>
      <c r="N135" s="138">
        <v>0.25</v>
      </c>
      <c r="O135" s="138">
        <v>0.26</v>
      </c>
      <c r="P135" s="138">
        <v>0.01</v>
      </c>
      <c r="Q135" s="178">
        <v>0.09</v>
      </c>
      <c r="R135" s="135"/>
      <c r="S135" s="179">
        <v>0.102</v>
      </c>
      <c r="T135" s="138">
        <v>0.32</v>
      </c>
      <c r="U135" s="138">
        <v>270</v>
      </c>
      <c r="V135" s="138"/>
      <c r="W135" s="138">
        <v>0.003</v>
      </c>
      <c r="X135" s="135">
        <v>20.2</v>
      </c>
      <c r="Y135" s="138">
        <v>0.01</v>
      </c>
      <c r="Z135" s="137"/>
      <c r="AA135" s="137"/>
      <c r="AB135" s="181"/>
      <c r="AC135" s="138">
        <v>0.04</v>
      </c>
      <c r="AD135" s="138">
        <v>3.3</v>
      </c>
      <c r="AE135" s="137"/>
      <c r="AF135" s="138">
        <v>0.0002</v>
      </c>
      <c r="AG135" s="137"/>
      <c r="AH135" s="138">
        <v>0.001</v>
      </c>
      <c r="AI135" s="137"/>
      <c r="AJ135" s="181"/>
    </row>
    <row r="136" spans="1:36" ht="12.75">
      <c r="A136" s="133">
        <v>35929.395833333336</v>
      </c>
      <c r="B136" s="134" t="s">
        <v>3</v>
      </c>
      <c r="C136" s="136">
        <v>307</v>
      </c>
      <c r="D136" s="135">
        <v>7</v>
      </c>
      <c r="E136" s="136">
        <v>119</v>
      </c>
      <c r="F136" s="136"/>
      <c r="G136" s="135">
        <v>10.95</v>
      </c>
      <c r="H136" s="136">
        <v>10.3</v>
      </c>
      <c r="I136" s="138">
        <v>36</v>
      </c>
      <c r="J136" s="138">
        <v>6</v>
      </c>
      <c r="K136" s="138">
        <v>43</v>
      </c>
      <c r="L136" s="138">
        <v>0.01</v>
      </c>
      <c r="M136" s="138">
        <v>47</v>
      </c>
      <c r="N136" s="138">
        <v>0.17</v>
      </c>
      <c r="O136" s="138">
        <v>0.18</v>
      </c>
      <c r="P136" s="138">
        <v>0.01</v>
      </c>
      <c r="Q136" s="178">
        <v>0.14</v>
      </c>
      <c r="R136" s="135">
        <v>0.8</v>
      </c>
      <c r="S136" s="179">
        <v>0.023</v>
      </c>
      <c r="T136" s="138">
        <v>0.35</v>
      </c>
      <c r="U136" s="138">
        <v>256</v>
      </c>
      <c r="V136" s="138">
        <v>0.002</v>
      </c>
      <c r="W136" s="138">
        <v>0.003</v>
      </c>
      <c r="X136" s="135">
        <v>14.6</v>
      </c>
      <c r="Y136" s="138">
        <v>0.01</v>
      </c>
      <c r="Z136" s="138">
        <v>0.005</v>
      </c>
      <c r="AA136" s="138">
        <v>0.005</v>
      </c>
      <c r="AB136" s="182">
        <v>0.6</v>
      </c>
      <c r="AC136" s="138">
        <v>0.04</v>
      </c>
      <c r="AD136" s="138">
        <v>2.5</v>
      </c>
      <c r="AE136" s="138">
        <v>0.033</v>
      </c>
      <c r="AF136" s="138">
        <v>0.0002</v>
      </c>
      <c r="AG136" s="138">
        <v>0.01</v>
      </c>
      <c r="AH136" s="138">
        <v>0.001</v>
      </c>
      <c r="AI136" s="138">
        <v>0.005</v>
      </c>
      <c r="AJ136" s="178">
        <v>0.08</v>
      </c>
    </row>
    <row r="137" spans="1:36" ht="12.75">
      <c r="A137" s="133">
        <v>35956.333333333336</v>
      </c>
      <c r="B137" s="134" t="s">
        <v>4</v>
      </c>
      <c r="C137" s="136">
        <v>72</v>
      </c>
      <c r="D137" s="136">
        <v>7.3</v>
      </c>
      <c r="E137" s="136">
        <v>251</v>
      </c>
      <c r="F137" s="136"/>
      <c r="G137" s="136">
        <v>7.4</v>
      </c>
      <c r="H137" s="136">
        <v>12.5</v>
      </c>
      <c r="I137" s="138"/>
      <c r="J137" s="138">
        <v>3</v>
      </c>
      <c r="K137" s="138">
        <v>260</v>
      </c>
      <c r="L137" s="138"/>
      <c r="M137" s="138">
        <v>97</v>
      </c>
      <c r="N137" s="138">
        <v>0.28</v>
      </c>
      <c r="O137" s="138">
        <v>0.28</v>
      </c>
      <c r="P137" s="138">
        <v>0.01</v>
      </c>
      <c r="Q137" s="178">
        <v>0.15</v>
      </c>
      <c r="R137" s="135"/>
      <c r="S137" s="179">
        <v>0.06</v>
      </c>
      <c r="T137" s="138">
        <v>0.4</v>
      </c>
      <c r="U137" s="138">
        <v>20</v>
      </c>
      <c r="V137" s="138"/>
      <c r="W137" s="138">
        <v>0.003</v>
      </c>
      <c r="X137" s="135">
        <v>31</v>
      </c>
      <c r="Y137" s="138">
        <v>0.01</v>
      </c>
      <c r="Z137" s="138"/>
      <c r="AA137" s="138"/>
      <c r="AB137" s="178"/>
      <c r="AC137" s="138">
        <v>0.04</v>
      </c>
      <c r="AD137" s="138">
        <v>4.7</v>
      </c>
      <c r="AE137" s="138"/>
      <c r="AF137" s="138">
        <v>0.0002</v>
      </c>
      <c r="AG137" s="138"/>
      <c r="AH137" s="138">
        <v>0.001</v>
      </c>
      <c r="AI137" s="138"/>
      <c r="AJ137" s="178"/>
    </row>
    <row r="138" spans="1:36" ht="12.75" hidden="1">
      <c r="A138" s="133">
        <v>35985.46875</v>
      </c>
      <c r="B138" s="134" t="s">
        <v>5</v>
      </c>
      <c r="C138" s="136">
        <v>62</v>
      </c>
      <c r="D138" s="136">
        <v>7.5</v>
      </c>
      <c r="E138" s="136">
        <v>303</v>
      </c>
      <c r="F138" s="136"/>
      <c r="G138" s="135">
        <v>8</v>
      </c>
      <c r="H138" s="136">
        <v>19.1</v>
      </c>
      <c r="I138" s="138">
        <v>83</v>
      </c>
      <c r="J138" s="138">
        <v>6</v>
      </c>
      <c r="K138" s="138">
        <v>3400</v>
      </c>
      <c r="L138" s="138">
        <v>0.01</v>
      </c>
      <c r="M138" s="138">
        <v>117</v>
      </c>
      <c r="N138" s="138">
        <v>0.47</v>
      </c>
      <c r="O138" s="138">
        <v>0.49</v>
      </c>
      <c r="P138" s="138">
        <v>0.02</v>
      </c>
      <c r="Q138" s="182">
        <v>0.31</v>
      </c>
      <c r="R138" s="135">
        <v>1.4</v>
      </c>
      <c r="S138" s="183">
        <v>0.377</v>
      </c>
      <c r="T138" s="138">
        <v>0.39</v>
      </c>
      <c r="U138" s="138">
        <v>258</v>
      </c>
      <c r="V138" s="184">
        <v>0.003</v>
      </c>
      <c r="W138" s="138">
        <v>0.003</v>
      </c>
      <c r="X138" s="135">
        <v>38</v>
      </c>
      <c r="Y138" s="138">
        <v>0.01</v>
      </c>
      <c r="Z138" s="138"/>
      <c r="AA138" s="138"/>
      <c r="AB138" s="178">
        <v>0.56</v>
      </c>
      <c r="AC138" s="138">
        <v>0.04</v>
      </c>
      <c r="AD138" s="138">
        <v>5.3</v>
      </c>
      <c r="AE138" s="184">
        <v>0.153</v>
      </c>
      <c r="AF138" s="138">
        <v>0.0002</v>
      </c>
      <c r="AG138" s="138">
        <v>0.01</v>
      </c>
      <c r="AH138" s="138">
        <v>0.001</v>
      </c>
      <c r="AI138" s="138">
        <v>0.005</v>
      </c>
      <c r="AJ138" s="182">
        <v>0.2</v>
      </c>
    </row>
    <row r="139" spans="1:36" ht="12.75" hidden="1">
      <c r="A139" s="133">
        <v>35998</v>
      </c>
      <c r="B139" s="134" t="s">
        <v>6</v>
      </c>
      <c r="C139" s="185"/>
      <c r="D139" s="136">
        <v>7.2</v>
      </c>
      <c r="E139" s="136">
        <v>332</v>
      </c>
      <c r="F139" s="136"/>
      <c r="G139" s="136">
        <v>5.4</v>
      </c>
      <c r="H139" s="136">
        <v>19.6</v>
      </c>
      <c r="I139" s="166"/>
      <c r="J139" s="166"/>
      <c r="K139" s="166"/>
      <c r="L139" s="166"/>
      <c r="M139" s="166"/>
      <c r="N139" s="138">
        <v>0.02</v>
      </c>
      <c r="O139" s="138">
        <v>0.02</v>
      </c>
      <c r="P139" s="138">
        <v>0.01</v>
      </c>
      <c r="Q139" s="178">
        <v>0.05</v>
      </c>
      <c r="R139" s="135"/>
      <c r="S139" s="179">
        <v>0.031</v>
      </c>
      <c r="T139" s="138">
        <v>0.07</v>
      </c>
      <c r="U139" s="138">
        <v>18</v>
      </c>
      <c r="V139" s="138"/>
      <c r="W139" s="138"/>
      <c r="X139" s="135"/>
      <c r="Y139" s="138"/>
      <c r="Z139" s="138">
        <v>0.005</v>
      </c>
      <c r="AA139" s="138">
        <v>0.005</v>
      </c>
      <c r="AB139" s="178"/>
      <c r="AC139" s="138"/>
      <c r="AD139" s="138"/>
      <c r="AE139" s="138"/>
      <c r="AF139" s="138"/>
      <c r="AG139" s="138"/>
      <c r="AH139" s="138"/>
      <c r="AI139" s="138"/>
      <c r="AJ139" s="178"/>
    </row>
    <row r="140" spans="1:36" ht="12.75">
      <c r="A140" s="133"/>
      <c r="B140" s="134" t="s">
        <v>5</v>
      </c>
      <c r="C140" s="185"/>
      <c r="D140" s="148">
        <f>AVERAGE(D138:D139)</f>
        <v>7.35</v>
      </c>
      <c r="E140" s="148">
        <f aca="true" t="shared" si="14" ref="E140:AJ140">AVERAGE(E138:E139)</f>
        <v>317.5</v>
      </c>
      <c r="F140" s="148"/>
      <c r="G140" s="148">
        <f t="shared" si="14"/>
        <v>6.7</v>
      </c>
      <c r="H140" s="148">
        <f t="shared" si="14"/>
        <v>19.35</v>
      </c>
      <c r="I140" s="148">
        <f t="shared" si="14"/>
        <v>83</v>
      </c>
      <c r="J140" s="148">
        <f t="shared" si="14"/>
        <v>6</v>
      </c>
      <c r="K140" s="148">
        <f t="shared" si="14"/>
        <v>3400</v>
      </c>
      <c r="L140" s="148">
        <f t="shared" si="14"/>
        <v>0.01</v>
      </c>
      <c r="M140" s="148">
        <f t="shared" si="14"/>
        <v>117</v>
      </c>
      <c r="N140" s="148">
        <f t="shared" si="14"/>
        <v>0.245</v>
      </c>
      <c r="O140" s="148">
        <f t="shared" si="14"/>
        <v>0.255</v>
      </c>
      <c r="P140" s="148">
        <f t="shared" si="14"/>
        <v>0.015</v>
      </c>
      <c r="Q140" s="148">
        <f t="shared" si="14"/>
        <v>0.18</v>
      </c>
      <c r="R140" s="148">
        <f t="shared" si="14"/>
        <v>1.4</v>
      </c>
      <c r="S140" s="148">
        <f t="shared" si="14"/>
        <v>0.20400000000000001</v>
      </c>
      <c r="T140" s="148">
        <f t="shared" si="14"/>
        <v>0.23</v>
      </c>
      <c r="U140" s="148">
        <f t="shared" si="14"/>
        <v>138</v>
      </c>
      <c r="V140" s="148">
        <f t="shared" si="14"/>
        <v>0.003</v>
      </c>
      <c r="W140" s="148">
        <f t="shared" si="14"/>
        <v>0.003</v>
      </c>
      <c r="X140" s="148">
        <f t="shared" si="14"/>
        <v>38</v>
      </c>
      <c r="Y140" s="148">
        <f t="shared" si="14"/>
        <v>0.01</v>
      </c>
      <c r="Z140" s="148">
        <f t="shared" si="14"/>
        <v>0.005</v>
      </c>
      <c r="AA140" s="148">
        <f t="shared" si="14"/>
        <v>0.005</v>
      </c>
      <c r="AB140" s="148">
        <f t="shared" si="14"/>
        <v>0.56</v>
      </c>
      <c r="AC140" s="148">
        <f t="shared" si="14"/>
        <v>0.04</v>
      </c>
      <c r="AD140" s="148">
        <f t="shared" si="14"/>
        <v>5.3</v>
      </c>
      <c r="AE140" s="148">
        <f t="shared" si="14"/>
        <v>0.153</v>
      </c>
      <c r="AF140" s="148">
        <f t="shared" si="14"/>
        <v>0.0002</v>
      </c>
      <c r="AG140" s="148">
        <f t="shared" si="14"/>
        <v>0.01</v>
      </c>
      <c r="AH140" s="148">
        <f t="shared" si="14"/>
        <v>0.001</v>
      </c>
      <c r="AI140" s="148">
        <f t="shared" si="14"/>
        <v>0.005</v>
      </c>
      <c r="AJ140" s="148">
        <f t="shared" si="14"/>
        <v>0.2</v>
      </c>
    </row>
    <row r="141" spans="1:36" ht="12.75" hidden="1">
      <c r="A141" s="133">
        <v>36012.333333333336</v>
      </c>
      <c r="B141" s="134">
        <v>36012.333333333336</v>
      </c>
      <c r="C141" s="136">
        <v>245</v>
      </c>
      <c r="D141" s="136">
        <v>6.5</v>
      </c>
      <c r="E141" s="136">
        <v>314</v>
      </c>
      <c r="F141" s="136"/>
      <c r="G141" s="136">
        <v>6.4</v>
      </c>
      <c r="H141" s="136">
        <v>16.2</v>
      </c>
      <c r="I141" s="168"/>
      <c r="J141" s="138">
        <v>10</v>
      </c>
      <c r="K141" s="184">
        <v>7200</v>
      </c>
      <c r="L141" s="138"/>
      <c r="M141" s="138">
        <v>83</v>
      </c>
      <c r="N141" s="138">
        <v>0.01</v>
      </c>
      <c r="O141" s="138">
        <v>0.12</v>
      </c>
      <c r="P141" s="184">
        <v>0.12</v>
      </c>
      <c r="Q141" s="178">
        <v>0.14</v>
      </c>
      <c r="R141" s="135"/>
      <c r="S141" s="179">
        <v>0.302</v>
      </c>
      <c r="T141" s="184">
        <v>0.79</v>
      </c>
      <c r="U141" s="184">
        <v>1520</v>
      </c>
      <c r="V141" s="138"/>
      <c r="W141" s="138">
        <v>0.003</v>
      </c>
      <c r="X141" s="135">
        <v>22.5</v>
      </c>
      <c r="Y141" s="138">
        <v>0.01</v>
      </c>
      <c r="Z141" s="138"/>
      <c r="AA141" s="138"/>
      <c r="AB141" s="178"/>
      <c r="AC141" s="138">
        <v>0.04</v>
      </c>
      <c r="AD141" s="138">
        <v>6.5</v>
      </c>
      <c r="AE141" s="138"/>
      <c r="AF141" s="138">
        <v>0.0002</v>
      </c>
      <c r="AG141" s="138"/>
      <c r="AH141" s="138">
        <v>0.001</v>
      </c>
      <c r="AI141" s="138"/>
      <c r="AJ141" s="178"/>
    </row>
    <row r="142" spans="1:36" ht="12.75" hidden="1">
      <c r="A142" s="133">
        <v>36026.3125</v>
      </c>
      <c r="B142" s="134">
        <v>36026.3125</v>
      </c>
      <c r="C142" s="136">
        <v>16</v>
      </c>
      <c r="D142" s="136">
        <v>7.4</v>
      </c>
      <c r="E142" s="136">
        <v>353</v>
      </c>
      <c r="F142" s="136"/>
      <c r="G142" s="136">
        <v>7.1</v>
      </c>
      <c r="H142" s="136">
        <v>17.7</v>
      </c>
      <c r="I142" s="168"/>
      <c r="J142" s="168"/>
      <c r="K142" s="168"/>
      <c r="L142" s="168"/>
      <c r="M142" s="168"/>
      <c r="N142" s="138">
        <v>0.45</v>
      </c>
      <c r="O142" s="138">
        <v>0.45</v>
      </c>
      <c r="P142" s="138">
        <v>0.01</v>
      </c>
      <c r="Q142" s="178">
        <v>0.07</v>
      </c>
      <c r="R142" s="135"/>
      <c r="S142" s="179">
        <v>0.07</v>
      </c>
      <c r="T142" s="138">
        <v>0.05</v>
      </c>
      <c r="U142" s="138">
        <v>70</v>
      </c>
      <c r="V142" s="138"/>
      <c r="W142" s="138"/>
      <c r="X142" s="135"/>
      <c r="Y142" s="138"/>
      <c r="Z142" s="138"/>
      <c r="AA142" s="138"/>
      <c r="AB142" s="178"/>
      <c r="AC142" s="138"/>
      <c r="AD142" s="138"/>
      <c r="AE142" s="138"/>
      <c r="AF142" s="138"/>
      <c r="AG142" s="138"/>
      <c r="AH142" s="138"/>
      <c r="AI142" s="138"/>
      <c r="AJ142" s="178"/>
    </row>
    <row r="143" spans="1:36" ht="12.75">
      <c r="A143" s="133"/>
      <c r="B143" s="134" t="s">
        <v>6</v>
      </c>
      <c r="C143" s="136"/>
      <c r="D143" s="148">
        <f>AVERAGE(D141:D142)</f>
        <v>6.95</v>
      </c>
      <c r="E143" s="148">
        <f aca="true" t="shared" si="15" ref="E143:AH143">AVERAGE(E141:E142)</f>
        <v>333.5</v>
      </c>
      <c r="F143" s="148"/>
      <c r="G143" s="148">
        <f t="shared" si="15"/>
        <v>6.75</v>
      </c>
      <c r="H143" s="148">
        <f t="shared" si="15"/>
        <v>16.95</v>
      </c>
      <c r="I143" s="148"/>
      <c r="J143" s="148">
        <f t="shared" si="15"/>
        <v>10</v>
      </c>
      <c r="K143" s="148">
        <f t="shared" si="15"/>
        <v>7200</v>
      </c>
      <c r="L143" s="148"/>
      <c r="M143" s="148">
        <f t="shared" si="15"/>
        <v>83</v>
      </c>
      <c r="N143" s="148">
        <f t="shared" si="15"/>
        <v>0.23</v>
      </c>
      <c r="O143" s="148">
        <f t="shared" si="15"/>
        <v>0.28500000000000003</v>
      </c>
      <c r="P143" s="148">
        <f t="shared" si="15"/>
        <v>0.065</v>
      </c>
      <c r="Q143" s="148">
        <f t="shared" si="15"/>
        <v>0.10500000000000001</v>
      </c>
      <c r="R143" s="148"/>
      <c r="S143" s="148">
        <f t="shared" si="15"/>
        <v>0.186</v>
      </c>
      <c r="T143" s="148">
        <f t="shared" si="15"/>
        <v>0.42000000000000004</v>
      </c>
      <c r="U143" s="148">
        <f t="shared" si="15"/>
        <v>795</v>
      </c>
      <c r="V143" s="148"/>
      <c r="W143" s="148">
        <f t="shared" si="15"/>
        <v>0.003</v>
      </c>
      <c r="X143" s="148">
        <f t="shared" si="15"/>
        <v>22.5</v>
      </c>
      <c r="Y143" s="148">
        <f t="shared" si="15"/>
        <v>0.01</v>
      </c>
      <c r="Z143" s="148"/>
      <c r="AA143" s="148"/>
      <c r="AB143" s="148"/>
      <c r="AC143" s="148">
        <f t="shared" si="15"/>
        <v>0.04</v>
      </c>
      <c r="AD143" s="148">
        <f t="shared" si="15"/>
        <v>6.5</v>
      </c>
      <c r="AE143" s="148"/>
      <c r="AF143" s="148">
        <f t="shared" si="15"/>
        <v>0.0002</v>
      </c>
      <c r="AG143" s="148"/>
      <c r="AH143" s="148">
        <f t="shared" si="15"/>
        <v>0.001</v>
      </c>
      <c r="AI143" s="148"/>
      <c r="AJ143" s="148"/>
    </row>
    <row r="144" spans="1:36" ht="12.75" hidden="1">
      <c r="A144" s="133">
        <v>36041.302083333336</v>
      </c>
      <c r="B144" s="134">
        <v>36041.302083333336</v>
      </c>
      <c r="C144" s="136">
        <v>12</v>
      </c>
      <c r="D144" s="135">
        <v>7</v>
      </c>
      <c r="E144" s="136">
        <v>360</v>
      </c>
      <c r="F144" s="136"/>
      <c r="G144" s="136">
        <v>7.8</v>
      </c>
      <c r="H144" s="136">
        <v>16.2</v>
      </c>
      <c r="I144" s="168"/>
      <c r="J144" s="138">
        <v>6</v>
      </c>
      <c r="K144" s="138">
        <v>250</v>
      </c>
      <c r="L144" s="138"/>
      <c r="M144" s="138">
        <v>144</v>
      </c>
      <c r="N144" s="138">
        <v>0.22</v>
      </c>
      <c r="O144" s="138">
        <v>0.22</v>
      </c>
      <c r="P144" s="138">
        <v>0.01</v>
      </c>
      <c r="Q144" s="178">
        <v>0.1</v>
      </c>
      <c r="R144" s="135"/>
      <c r="S144" s="179">
        <v>0.076</v>
      </c>
      <c r="T144" s="138">
        <v>0.08</v>
      </c>
      <c r="U144" s="138">
        <v>52</v>
      </c>
      <c r="V144" s="138"/>
      <c r="W144" s="138">
        <v>0.003</v>
      </c>
      <c r="X144" s="135">
        <v>47.1</v>
      </c>
      <c r="Y144" s="138">
        <v>0.01</v>
      </c>
      <c r="Z144" s="138"/>
      <c r="AA144" s="138"/>
      <c r="AB144" s="178"/>
      <c r="AC144" s="138">
        <v>0.04</v>
      </c>
      <c r="AD144" s="138">
        <v>6.5</v>
      </c>
      <c r="AE144" s="138"/>
      <c r="AF144" s="138">
        <v>0.0002</v>
      </c>
      <c r="AG144" s="138"/>
      <c r="AH144" s="184">
        <v>0.001</v>
      </c>
      <c r="AI144" s="138"/>
      <c r="AJ144" s="178"/>
    </row>
    <row r="145" spans="1:36" ht="12.75" hidden="1">
      <c r="A145" s="133">
        <v>36054.305555555555</v>
      </c>
      <c r="B145" s="134">
        <v>36054.305555555555</v>
      </c>
      <c r="C145" s="136">
        <v>5</v>
      </c>
      <c r="D145" s="136">
        <v>7.3</v>
      </c>
      <c r="E145" s="136">
        <v>385</v>
      </c>
      <c r="F145" s="136"/>
      <c r="G145" s="136">
        <v>7.6</v>
      </c>
      <c r="H145" s="136">
        <v>14.6</v>
      </c>
      <c r="I145" s="168"/>
      <c r="J145" s="168"/>
      <c r="K145" s="168"/>
      <c r="L145" s="138"/>
      <c r="M145" s="138"/>
      <c r="N145" s="138">
        <v>0.21</v>
      </c>
      <c r="O145" s="138">
        <v>0.21</v>
      </c>
      <c r="P145" s="138">
        <v>0.01</v>
      </c>
      <c r="Q145" s="178">
        <v>0.05</v>
      </c>
      <c r="R145" s="135"/>
      <c r="S145" s="179">
        <v>0.032</v>
      </c>
      <c r="T145" s="138">
        <v>0.06</v>
      </c>
      <c r="U145" s="138">
        <v>38</v>
      </c>
      <c r="V145" s="138"/>
      <c r="W145" s="138"/>
      <c r="X145" s="135"/>
      <c r="Y145" s="138"/>
      <c r="Z145" s="138"/>
      <c r="AA145" s="138"/>
      <c r="AB145" s="178"/>
      <c r="AC145" s="138"/>
      <c r="AD145" s="138"/>
      <c r="AE145" s="138"/>
      <c r="AF145" s="138"/>
      <c r="AG145" s="138"/>
      <c r="AH145" s="138"/>
      <c r="AI145" s="138"/>
      <c r="AJ145" s="178"/>
    </row>
    <row r="146" spans="1:36" ht="12.75">
      <c r="A146" s="133"/>
      <c r="B146" s="134" t="s">
        <v>7</v>
      </c>
      <c r="C146" s="136"/>
      <c r="D146" s="148">
        <f>AVERAGE(D144:D145)</f>
        <v>7.15</v>
      </c>
      <c r="E146" s="148">
        <f aca="true" t="shared" si="16" ref="E146:AH146">AVERAGE(E144:E145)</f>
        <v>372.5</v>
      </c>
      <c r="F146" s="148"/>
      <c r="G146" s="148">
        <f t="shared" si="16"/>
        <v>7.699999999999999</v>
      </c>
      <c r="H146" s="148">
        <f t="shared" si="16"/>
        <v>15.399999999999999</v>
      </c>
      <c r="I146" s="148"/>
      <c r="J146" s="148">
        <f t="shared" si="16"/>
        <v>6</v>
      </c>
      <c r="K146" s="148">
        <f t="shared" si="16"/>
        <v>250</v>
      </c>
      <c r="L146" s="148"/>
      <c r="M146" s="148">
        <f t="shared" si="16"/>
        <v>144</v>
      </c>
      <c r="N146" s="148">
        <f t="shared" si="16"/>
        <v>0.215</v>
      </c>
      <c r="O146" s="148">
        <f t="shared" si="16"/>
        <v>0.215</v>
      </c>
      <c r="P146" s="148">
        <f t="shared" si="16"/>
        <v>0.01</v>
      </c>
      <c r="Q146" s="148">
        <f t="shared" si="16"/>
        <v>0.07500000000000001</v>
      </c>
      <c r="R146" s="148"/>
      <c r="S146" s="148">
        <f t="shared" si="16"/>
        <v>0.054</v>
      </c>
      <c r="T146" s="148">
        <f t="shared" si="16"/>
        <v>0.07</v>
      </c>
      <c r="U146" s="148">
        <f t="shared" si="16"/>
        <v>45</v>
      </c>
      <c r="V146" s="148"/>
      <c r="W146" s="148">
        <f t="shared" si="16"/>
        <v>0.003</v>
      </c>
      <c r="X146" s="148">
        <f t="shared" si="16"/>
        <v>47.1</v>
      </c>
      <c r="Y146" s="148">
        <f t="shared" si="16"/>
        <v>0.01</v>
      </c>
      <c r="Z146" s="148"/>
      <c r="AA146" s="148"/>
      <c r="AB146" s="148"/>
      <c r="AC146" s="148">
        <f t="shared" si="16"/>
        <v>0.04</v>
      </c>
      <c r="AD146" s="148">
        <f t="shared" si="16"/>
        <v>6.5</v>
      </c>
      <c r="AE146" s="148"/>
      <c r="AF146" s="148">
        <f t="shared" si="16"/>
        <v>0.0002</v>
      </c>
      <c r="AG146" s="148"/>
      <c r="AH146" s="148">
        <f t="shared" si="16"/>
        <v>0.001</v>
      </c>
      <c r="AI146" s="148"/>
      <c r="AJ146" s="148"/>
    </row>
    <row r="147" spans="1:36" ht="12.75">
      <c r="A147" s="133">
        <v>36082.447916666664</v>
      </c>
      <c r="B147" s="134" t="s">
        <v>8</v>
      </c>
      <c r="C147" s="136">
        <v>8</v>
      </c>
      <c r="D147" s="136">
        <v>6.8</v>
      </c>
      <c r="E147" s="136">
        <v>428</v>
      </c>
      <c r="F147" s="136"/>
      <c r="G147" s="136">
        <v>7.3</v>
      </c>
      <c r="H147" s="136">
        <v>10.6</v>
      </c>
      <c r="I147" s="184">
        <v>113</v>
      </c>
      <c r="J147" s="138">
        <v>2</v>
      </c>
      <c r="K147" s="138">
        <v>350</v>
      </c>
      <c r="L147" s="138">
        <v>0.01</v>
      </c>
      <c r="M147" s="138">
        <v>155</v>
      </c>
      <c r="N147" s="138">
        <v>0.45</v>
      </c>
      <c r="O147" s="138">
        <v>0.45</v>
      </c>
      <c r="P147" s="138">
        <v>0.01</v>
      </c>
      <c r="Q147" s="178">
        <v>0.13</v>
      </c>
      <c r="R147" s="135">
        <v>0.8</v>
      </c>
      <c r="S147" s="179">
        <v>0.033</v>
      </c>
      <c r="T147" s="138">
        <v>0.07</v>
      </c>
      <c r="U147" s="138">
        <v>63</v>
      </c>
      <c r="V147" s="138">
        <v>0.001</v>
      </c>
      <c r="W147" s="138">
        <v>0.003</v>
      </c>
      <c r="X147" s="135">
        <v>49.8</v>
      </c>
      <c r="Y147" s="138">
        <v>0.01</v>
      </c>
      <c r="Z147" s="138">
        <v>0.005</v>
      </c>
      <c r="AA147" s="138">
        <v>0.005</v>
      </c>
      <c r="AB147" s="178">
        <v>0.12</v>
      </c>
      <c r="AC147" s="138">
        <v>0.04</v>
      </c>
      <c r="AD147" s="138">
        <v>7.3</v>
      </c>
      <c r="AE147" s="138">
        <v>0.142</v>
      </c>
      <c r="AF147" s="138">
        <v>0.0002</v>
      </c>
      <c r="AG147" s="138">
        <v>0.01</v>
      </c>
      <c r="AH147" s="138">
        <v>0.001</v>
      </c>
      <c r="AI147" s="138">
        <v>0.005</v>
      </c>
      <c r="AJ147" s="178">
        <v>0.03</v>
      </c>
    </row>
    <row r="148" spans="1:36" ht="12.75">
      <c r="A148" s="133">
        <v>36110.30902777778</v>
      </c>
      <c r="B148" s="134" t="s">
        <v>9</v>
      </c>
      <c r="C148" s="136">
        <v>68</v>
      </c>
      <c r="D148" s="136">
        <v>6.9</v>
      </c>
      <c r="E148" s="136">
        <v>444</v>
      </c>
      <c r="F148" s="136"/>
      <c r="G148" s="136">
        <v>13.4</v>
      </c>
      <c r="H148" s="136">
        <v>0.1</v>
      </c>
      <c r="I148" s="168"/>
      <c r="J148" s="138">
        <v>3</v>
      </c>
      <c r="K148" s="138">
        <v>54</v>
      </c>
      <c r="L148" s="138"/>
      <c r="M148" s="138">
        <v>154</v>
      </c>
      <c r="N148" s="184">
        <v>1.09</v>
      </c>
      <c r="O148" s="138">
        <v>1.11</v>
      </c>
      <c r="P148" s="138">
        <v>0.02</v>
      </c>
      <c r="Q148" s="178">
        <v>0.11</v>
      </c>
      <c r="R148" s="138"/>
      <c r="S148" s="179">
        <v>0.053</v>
      </c>
      <c r="T148" s="138">
        <v>0.06</v>
      </c>
      <c r="U148" s="138">
        <v>134</v>
      </c>
      <c r="V148" s="138"/>
      <c r="W148" s="138">
        <v>0.003</v>
      </c>
      <c r="X148" s="135">
        <v>49.6</v>
      </c>
      <c r="Y148" s="138">
        <v>0.01</v>
      </c>
      <c r="Z148" s="138"/>
      <c r="AA148" s="138"/>
      <c r="AB148" s="138"/>
      <c r="AC148" s="138">
        <v>0.04</v>
      </c>
      <c r="AD148" s="138">
        <v>7.3</v>
      </c>
      <c r="AE148" s="138"/>
      <c r="AF148" s="138">
        <v>0.0002</v>
      </c>
      <c r="AG148" s="138"/>
      <c r="AH148" s="138">
        <v>0.001</v>
      </c>
      <c r="AI148" s="138"/>
      <c r="AJ148" s="138"/>
    </row>
    <row r="149" spans="1:36" ht="12.75">
      <c r="A149" s="133">
        <v>36137.333333333336</v>
      </c>
      <c r="B149" s="134" t="s">
        <v>10</v>
      </c>
      <c r="C149" s="136">
        <v>95</v>
      </c>
      <c r="D149" s="136">
        <v>6.4</v>
      </c>
      <c r="E149" s="136">
        <v>449</v>
      </c>
      <c r="F149" s="136"/>
      <c r="G149" s="136">
        <v>8.7</v>
      </c>
      <c r="H149" s="136">
        <v>1.7</v>
      </c>
      <c r="I149" s="168"/>
      <c r="J149" s="138">
        <v>3</v>
      </c>
      <c r="K149" s="138">
        <v>23</v>
      </c>
      <c r="L149" s="138"/>
      <c r="M149" s="184">
        <v>161</v>
      </c>
      <c r="N149" s="138">
        <v>0.56</v>
      </c>
      <c r="O149" s="138">
        <v>0.56</v>
      </c>
      <c r="P149" s="138">
        <v>0.01</v>
      </c>
      <c r="Q149" s="178">
        <v>0.06</v>
      </c>
      <c r="R149" s="138"/>
      <c r="S149" s="179">
        <v>0.02</v>
      </c>
      <c r="T149" s="138">
        <v>0.01</v>
      </c>
      <c r="U149" s="138">
        <v>5</v>
      </c>
      <c r="V149" s="138"/>
      <c r="W149" s="138">
        <v>0.003</v>
      </c>
      <c r="X149" s="180">
        <v>52</v>
      </c>
      <c r="Y149" s="138">
        <v>0.01</v>
      </c>
      <c r="Z149" s="138"/>
      <c r="AA149" s="138"/>
      <c r="AB149" s="138"/>
      <c r="AC149" s="138">
        <v>0.04</v>
      </c>
      <c r="AD149" s="184">
        <v>7.5</v>
      </c>
      <c r="AE149" s="138"/>
      <c r="AF149" s="138">
        <v>0.0002</v>
      </c>
      <c r="AG149" s="138"/>
      <c r="AH149" s="138">
        <v>0.001</v>
      </c>
      <c r="AI149" s="138"/>
      <c r="AJ149" s="138"/>
    </row>
    <row r="150" spans="1:36" ht="12.75">
      <c r="A150" s="25" t="s">
        <v>370</v>
      </c>
      <c r="B150" s="25"/>
      <c r="C150" s="186">
        <f>AVERAGE(C132:C149)</f>
        <v>86.71428571428571</v>
      </c>
      <c r="D150" s="186">
        <f aca="true" t="shared" si="17" ref="D150:AJ150">AVERAGE(D132:D149)</f>
        <v>7.16388888888889</v>
      </c>
      <c r="E150" s="186">
        <f t="shared" si="17"/>
        <v>333.25</v>
      </c>
      <c r="F150" s="25"/>
      <c r="G150" s="187">
        <f t="shared" si="17"/>
        <v>8.866666666666667</v>
      </c>
      <c r="H150" s="187">
        <f t="shared" si="17"/>
        <v>11.155555555555553</v>
      </c>
      <c r="I150" s="25">
        <f t="shared" si="17"/>
        <v>80</v>
      </c>
      <c r="J150" s="188">
        <f t="shared" si="17"/>
        <v>5.266666666666667</v>
      </c>
      <c r="K150" s="188">
        <f>AVERAGE(GEOMEAN(K146:K149))</f>
        <v>102.10156811889048</v>
      </c>
      <c r="L150" s="25">
        <f t="shared" si="17"/>
        <v>0.01</v>
      </c>
      <c r="M150" s="189">
        <f t="shared" si="17"/>
        <v>116.26666666666667</v>
      </c>
      <c r="N150" s="189">
        <f t="shared" si="17"/>
        <v>0.3911111111111111</v>
      </c>
      <c r="O150" s="189">
        <f t="shared" si="17"/>
        <v>0.4058333333333333</v>
      </c>
      <c r="P150" s="189">
        <f t="shared" si="17"/>
        <v>0.02055555555555556</v>
      </c>
      <c r="Q150" s="189">
        <f t="shared" si="17"/>
        <v>0.10944444444444447</v>
      </c>
      <c r="R150" s="25">
        <f t="shared" si="17"/>
        <v>1.0799999999999998</v>
      </c>
      <c r="S150" s="25">
        <f t="shared" si="17"/>
        <v>0.09200000000000001</v>
      </c>
      <c r="T150" s="25">
        <f t="shared" si="17"/>
        <v>0.19611111111111107</v>
      </c>
      <c r="U150" s="188">
        <f t="shared" si="17"/>
        <v>219.88888888888889</v>
      </c>
      <c r="V150" s="25">
        <f t="shared" si="17"/>
        <v>0.0020000000000000005</v>
      </c>
      <c r="W150" s="25">
        <f t="shared" si="17"/>
        <v>0.0030000000000000005</v>
      </c>
      <c r="X150" s="25">
        <f t="shared" si="17"/>
        <v>36.89333333333334</v>
      </c>
      <c r="Y150" s="25">
        <f t="shared" si="17"/>
        <v>0.01</v>
      </c>
      <c r="Z150" s="25">
        <f t="shared" si="17"/>
        <v>0.005</v>
      </c>
      <c r="AA150" s="25">
        <f t="shared" si="17"/>
        <v>0.005</v>
      </c>
      <c r="AB150" s="25">
        <f t="shared" si="17"/>
        <v>0.4</v>
      </c>
      <c r="AC150" s="25">
        <f t="shared" si="17"/>
        <v>0.04</v>
      </c>
      <c r="AD150" s="25">
        <f t="shared" si="17"/>
        <v>5.853333333333333</v>
      </c>
      <c r="AE150" s="25">
        <f t="shared" si="17"/>
        <v>0.1004</v>
      </c>
      <c r="AF150" s="25">
        <f t="shared" si="17"/>
        <v>0.00020000000000000006</v>
      </c>
      <c r="AG150" s="25">
        <f t="shared" si="17"/>
        <v>0.01</v>
      </c>
      <c r="AH150" s="25">
        <f t="shared" si="17"/>
        <v>0.0010000000000000005</v>
      </c>
      <c r="AI150" s="25">
        <f t="shared" si="17"/>
        <v>0.005</v>
      </c>
      <c r="AJ150" s="25">
        <f t="shared" si="17"/>
        <v>0.11000000000000001</v>
      </c>
    </row>
    <row r="151" spans="1:36" ht="12.75">
      <c r="A151" s="25"/>
      <c r="B151" s="25"/>
      <c r="C151" s="186"/>
      <c r="D151" s="186"/>
      <c r="E151" s="186"/>
      <c r="F151" s="25"/>
      <c r="G151" s="187"/>
      <c r="H151" s="187"/>
      <c r="I151" s="25"/>
      <c r="J151" s="188"/>
      <c r="K151" s="188"/>
      <c r="L151" s="25"/>
      <c r="M151" s="189"/>
      <c r="N151" s="189"/>
      <c r="O151" s="189"/>
      <c r="P151" s="189"/>
      <c r="Q151" s="189"/>
      <c r="R151" s="25"/>
      <c r="S151" s="25"/>
      <c r="T151" s="25"/>
      <c r="U151" s="188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</row>
    <row r="152" spans="1:36" ht="12.75">
      <c r="A152" s="25" t="s">
        <v>365</v>
      </c>
      <c r="B152" s="96"/>
      <c r="C152" s="100"/>
      <c r="D152" s="97"/>
      <c r="E152" s="100" t="s">
        <v>294</v>
      </c>
      <c r="F152" s="97"/>
      <c r="G152" s="97"/>
      <c r="H152" s="97"/>
      <c r="I152" s="96"/>
      <c r="J152" s="96"/>
      <c r="K152" s="99"/>
      <c r="L152" s="96"/>
      <c r="M152" s="96"/>
      <c r="N152" s="96"/>
      <c r="O152" s="96"/>
      <c r="P152" s="96"/>
      <c r="Q152" s="96"/>
      <c r="R152" s="96"/>
      <c r="S152" s="96"/>
      <c r="T152" s="96"/>
      <c r="U152" s="99" t="s">
        <v>154</v>
      </c>
      <c r="V152" s="99"/>
      <c r="W152" s="96"/>
      <c r="X152" s="96"/>
      <c r="Y152" s="96"/>
      <c r="Z152" s="99" t="s">
        <v>295</v>
      </c>
      <c r="AA152" s="99" t="s">
        <v>295</v>
      </c>
      <c r="AB152" s="96"/>
      <c r="AC152" s="96"/>
      <c r="AD152" s="96"/>
      <c r="AE152" s="96"/>
      <c r="AF152" s="96"/>
      <c r="AG152" s="96"/>
      <c r="AH152" s="96"/>
      <c r="AI152" s="96"/>
      <c r="AJ152" s="96"/>
    </row>
    <row r="153" spans="1:36" ht="12.75">
      <c r="A153" s="96"/>
      <c r="B153" s="96"/>
      <c r="C153" s="100" t="s">
        <v>356</v>
      </c>
      <c r="D153" s="97"/>
      <c r="E153" s="100" t="s">
        <v>299</v>
      </c>
      <c r="F153" s="97"/>
      <c r="G153" s="101" t="s">
        <v>300</v>
      </c>
      <c r="H153" s="97"/>
      <c r="I153" s="99" t="s">
        <v>301</v>
      </c>
      <c r="J153" s="99" t="s">
        <v>302</v>
      </c>
      <c r="K153" s="99" t="s">
        <v>303</v>
      </c>
      <c r="L153" s="99" t="s">
        <v>304</v>
      </c>
      <c r="M153" s="99"/>
      <c r="N153" s="99"/>
      <c r="O153" s="99" t="s">
        <v>357</v>
      </c>
      <c r="P153" s="99"/>
      <c r="Q153" s="99" t="s">
        <v>305</v>
      </c>
      <c r="R153" s="99" t="s">
        <v>305</v>
      </c>
      <c r="S153" s="99" t="s">
        <v>306</v>
      </c>
      <c r="T153" s="99" t="s">
        <v>307</v>
      </c>
      <c r="U153" s="99" t="s">
        <v>308</v>
      </c>
      <c r="V153" s="99" t="s">
        <v>309</v>
      </c>
      <c r="W153" s="102" t="s">
        <v>310</v>
      </c>
      <c r="X153" s="102" t="s">
        <v>311</v>
      </c>
      <c r="Y153" s="102" t="s">
        <v>312</v>
      </c>
      <c r="Z153" s="102" t="s">
        <v>313</v>
      </c>
      <c r="AA153" s="102" t="s">
        <v>314</v>
      </c>
      <c r="AB153" s="102" t="s">
        <v>315</v>
      </c>
      <c r="AC153" s="102" t="s">
        <v>316</v>
      </c>
      <c r="AD153" s="102" t="s">
        <v>317</v>
      </c>
      <c r="AE153" s="102" t="s">
        <v>358</v>
      </c>
      <c r="AF153" s="102" t="s">
        <v>319</v>
      </c>
      <c r="AG153" s="102" t="s">
        <v>320</v>
      </c>
      <c r="AH153" s="102" t="s">
        <v>321</v>
      </c>
      <c r="AI153" s="102" t="s">
        <v>322</v>
      </c>
      <c r="AJ153" s="102" t="s">
        <v>323</v>
      </c>
    </row>
    <row r="154" spans="1:36" ht="12.75">
      <c r="A154" s="96"/>
      <c r="B154" s="96"/>
      <c r="C154" s="100" t="s">
        <v>359</v>
      </c>
      <c r="D154" s="101" t="s">
        <v>298</v>
      </c>
      <c r="E154" s="100" t="s">
        <v>328</v>
      </c>
      <c r="F154" s="101" t="s">
        <v>329</v>
      </c>
      <c r="G154" s="101" t="s">
        <v>330</v>
      </c>
      <c r="H154" s="101" t="s">
        <v>331</v>
      </c>
      <c r="I154" s="99" t="s">
        <v>216</v>
      </c>
      <c r="J154" s="99" t="s">
        <v>332</v>
      </c>
      <c r="K154" s="99" t="s">
        <v>334</v>
      </c>
      <c r="L154" s="99" t="s">
        <v>335</v>
      </c>
      <c r="M154" s="99" t="s">
        <v>99</v>
      </c>
      <c r="N154" s="99" t="s">
        <v>360</v>
      </c>
      <c r="O154" s="99" t="s">
        <v>361</v>
      </c>
      <c r="P154" s="99" t="s">
        <v>361</v>
      </c>
      <c r="Q154" s="99" t="s">
        <v>362</v>
      </c>
      <c r="R154" s="99" t="s">
        <v>216</v>
      </c>
      <c r="S154" s="99" t="s">
        <v>336</v>
      </c>
      <c r="T154" s="99" t="s">
        <v>216</v>
      </c>
      <c r="U154" s="99" t="s">
        <v>216</v>
      </c>
      <c r="V154" s="99" t="s">
        <v>216</v>
      </c>
      <c r="W154" s="99" t="s">
        <v>330</v>
      </c>
      <c r="X154" s="99" t="s">
        <v>330</v>
      </c>
      <c r="Y154" s="99" t="s">
        <v>330</v>
      </c>
      <c r="Z154" s="99" t="s">
        <v>330</v>
      </c>
      <c r="AA154" s="99" t="s">
        <v>330</v>
      </c>
      <c r="AB154" s="99" t="s">
        <v>330</v>
      </c>
      <c r="AC154" s="99" t="s">
        <v>330</v>
      </c>
      <c r="AD154" s="99" t="s">
        <v>330</v>
      </c>
      <c r="AE154" s="99" t="s">
        <v>330</v>
      </c>
      <c r="AF154" s="99" t="s">
        <v>330</v>
      </c>
      <c r="AG154" s="99" t="s">
        <v>330</v>
      </c>
      <c r="AH154" s="99" t="s">
        <v>330</v>
      </c>
      <c r="AI154" s="99" t="s">
        <v>330</v>
      </c>
      <c r="AJ154" s="99" t="s">
        <v>330</v>
      </c>
    </row>
    <row r="155" spans="1:36" ht="12.75">
      <c r="A155" s="103" t="s">
        <v>337</v>
      </c>
      <c r="B155" s="103" t="s">
        <v>355</v>
      </c>
      <c r="C155" s="105" t="s">
        <v>366</v>
      </c>
      <c r="D155" s="104" t="s">
        <v>364</v>
      </c>
      <c r="E155" s="105" t="s">
        <v>339</v>
      </c>
      <c r="F155" s="104" t="s">
        <v>155</v>
      </c>
      <c r="G155" s="104" t="s">
        <v>156</v>
      </c>
      <c r="H155" s="104" t="s">
        <v>157</v>
      </c>
      <c r="I155" s="103" t="s">
        <v>156</v>
      </c>
      <c r="J155" s="103" t="s">
        <v>156</v>
      </c>
      <c r="K155" s="103" t="s">
        <v>158</v>
      </c>
      <c r="L155" s="103" t="s">
        <v>156</v>
      </c>
      <c r="M155" s="103" t="s">
        <v>100</v>
      </c>
      <c r="N155" s="103" t="s">
        <v>159</v>
      </c>
      <c r="O155" s="103" t="s">
        <v>159</v>
      </c>
      <c r="P155" s="103" t="s">
        <v>159</v>
      </c>
      <c r="Q155" s="103" t="s">
        <v>156</v>
      </c>
      <c r="R155" s="103" t="s">
        <v>156</v>
      </c>
      <c r="S155" s="106" t="s">
        <v>160</v>
      </c>
      <c r="T155" s="103" t="s">
        <v>160</v>
      </c>
      <c r="U155" s="103" t="s">
        <v>341</v>
      </c>
      <c r="V155" s="103" t="s">
        <v>156</v>
      </c>
      <c r="W155" s="103" t="s">
        <v>156</v>
      </c>
      <c r="X155" s="103" t="s">
        <v>156</v>
      </c>
      <c r="Y155" s="103" t="s">
        <v>156</v>
      </c>
      <c r="Z155" s="103" t="s">
        <v>156</v>
      </c>
      <c r="AA155" s="103" t="s">
        <v>156</v>
      </c>
      <c r="AB155" s="103" t="s">
        <v>156</v>
      </c>
      <c r="AC155" s="103" t="s">
        <v>156</v>
      </c>
      <c r="AD155" s="103" t="s">
        <v>156</v>
      </c>
      <c r="AE155" s="103" t="s">
        <v>156</v>
      </c>
      <c r="AF155" s="103" t="s">
        <v>156</v>
      </c>
      <c r="AG155" s="103" t="s">
        <v>156</v>
      </c>
      <c r="AH155" s="103" t="s">
        <v>156</v>
      </c>
      <c r="AI155" s="103" t="s">
        <v>156</v>
      </c>
      <c r="AJ155" s="103" t="s">
        <v>156</v>
      </c>
    </row>
    <row r="156" spans="1:36" ht="12.75">
      <c r="A156" s="133">
        <v>35809.4375</v>
      </c>
      <c r="B156" s="134" t="s">
        <v>277</v>
      </c>
      <c r="C156" s="136">
        <v>41</v>
      </c>
      <c r="D156" s="135">
        <v>8.2</v>
      </c>
      <c r="E156" s="136">
        <v>276</v>
      </c>
      <c r="F156" s="135"/>
      <c r="G156" s="135">
        <v>13.8</v>
      </c>
      <c r="H156" s="135">
        <v>0.1</v>
      </c>
      <c r="I156" s="137"/>
      <c r="J156" s="138">
        <v>6</v>
      </c>
      <c r="K156" s="138">
        <v>-1</v>
      </c>
      <c r="L156" s="137"/>
      <c r="M156" s="138">
        <v>111</v>
      </c>
      <c r="N156" s="178">
        <v>0.07</v>
      </c>
      <c r="O156" s="138">
        <v>0.08</v>
      </c>
      <c r="P156" s="138">
        <v>0.01</v>
      </c>
      <c r="Q156" s="138">
        <v>0.05</v>
      </c>
      <c r="R156" s="138"/>
      <c r="S156" s="179">
        <v>0.006</v>
      </c>
      <c r="T156" s="138">
        <v>0.01</v>
      </c>
      <c r="U156" s="138">
        <v>20</v>
      </c>
      <c r="V156" s="138"/>
      <c r="W156" s="138">
        <v>0.003</v>
      </c>
      <c r="X156" s="138">
        <v>28.6</v>
      </c>
      <c r="Y156" s="138">
        <v>0.01</v>
      </c>
      <c r="Z156" s="138"/>
      <c r="AA156" s="138"/>
      <c r="AB156" s="138"/>
      <c r="AC156" s="138">
        <v>0.04</v>
      </c>
      <c r="AD156" s="138">
        <v>9.7</v>
      </c>
      <c r="AE156" s="138"/>
      <c r="AF156" s="184">
        <v>0.0002</v>
      </c>
      <c r="AG156" s="137"/>
      <c r="AH156" s="138">
        <v>0.001</v>
      </c>
      <c r="AI156" s="137"/>
      <c r="AJ156" s="137"/>
    </row>
    <row r="157" spans="1:36" ht="12.75">
      <c r="A157" s="133">
        <v>35837.29722222222</v>
      </c>
      <c r="B157" s="134" t="s">
        <v>0</v>
      </c>
      <c r="C157" s="136">
        <v>46</v>
      </c>
      <c r="D157" s="135">
        <v>6.6</v>
      </c>
      <c r="E157" s="136">
        <v>311</v>
      </c>
      <c r="F157" s="135"/>
      <c r="G157" s="135">
        <v>12.8</v>
      </c>
      <c r="H157" s="135">
        <v>0.6</v>
      </c>
      <c r="I157" s="137"/>
      <c r="J157" s="138">
        <v>3</v>
      </c>
      <c r="K157" s="138">
        <v>1</v>
      </c>
      <c r="L157" s="137"/>
      <c r="M157" s="138">
        <v>124</v>
      </c>
      <c r="N157" s="178">
        <v>0.24</v>
      </c>
      <c r="O157" s="138">
        <v>0.25</v>
      </c>
      <c r="P157" s="138">
        <v>0.02</v>
      </c>
      <c r="Q157" s="138">
        <v>0.05</v>
      </c>
      <c r="R157" s="138"/>
      <c r="S157" s="138">
        <v>0.05</v>
      </c>
      <c r="T157" s="138">
        <v>0.01</v>
      </c>
      <c r="U157" s="138">
        <v>5</v>
      </c>
      <c r="V157" s="138"/>
      <c r="W157" s="138">
        <v>0.003</v>
      </c>
      <c r="X157" s="138">
        <v>31.7</v>
      </c>
      <c r="Y157" s="138">
        <v>0.01</v>
      </c>
      <c r="Z157" s="138"/>
      <c r="AA157" s="138"/>
      <c r="AB157" s="138"/>
      <c r="AC157" s="138">
        <v>0.04</v>
      </c>
      <c r="AD157" s="138">
        <v>10.8</v>
      </c>
      <c r="AE157" s="138"/>
      <c r="AF157" s="184">
        <v>0.0002</v>
      </c>
      <c r="AG157" s="137"/>
      <c r="AH157" s="138">
        <v>0.001</v>
      </c>
      <c r="AI157" s="137"/>
      <c r="AJ157" s="137"/>
    </row>
    <row r="158" spans="1:36" ht="12.75">
      <c r="A158" s="133">
        <v>35877.34027777778</v>
      </c>
      <c r="B158" s="134" t="s">
        <v>1</v>
      </c>
      <c r="C158" s="136">
        <v>36</v>
      </c>
      <c r="D158" s="135">
        <v>6.9</v>
      </c>
      <c r="E158" s="136">
        <v>299</v>
      </c>
      <c r="F158" s="135"/>
      <c r="G158" s="135">
        <v>12.4</v>
      </c>
      <c r="H158" s="135">
        <v>4.8</v>
      </c>
      <c r="I158" s="184">
        <v>88</v>
      </c>
      <c r="J158" s="138">
        <v>3</v>
      </c>
      <c r="K158" s="138">
        <v>2</v>
      </c>
      <c r="L158" s="138">
        <v>0.01</v>
      </c>
      <c r="M158" s="138">
        <v>110</v>
      </c>
      <c r="N158" s="178">
        <v>0.25</v>
      </c>
      <c r="O158" s="138">
        <v>0.25</v>
      </c>
      <c r="P158" s="138">
        <v>0.01</v>
      </c>
      <c r="Q158" s="138">
        <v>0.05</v>
      </c>
      <c r="R158" s="138">
        <v>0.3</v>
      </c>
      <c r="S158" s="179">
        <v>0.016</v>
      </c>
      <c r="T158" s="138">
        <v>0.03</v>
      </c>
      <c r="U158" s="138">
        <v>20</v>
      </c>
      <c r="V158" s="138">
        <v>0.001</v>
      </c>
      <c r="W158" s="138">
        <v>0.003</v>
      </c>
      <c r="X158" s="138">
        <v>28.5</v>
      </c>
      <c r="Y158" s="138">
        <v>0.01</v>
      </c>
      <c r="Z158" s="138">
        <v>0.005</v>
      </c>
      <c r="AA158" s="138">
        <v>0.005</v>
      </c>
      <c r="AB158" s="138">
        <v>0.03</v>
      </c>
      <c r="AC158" s="138">
        <v>0.04</v>
      </c>
      <c r="AD158" s="138">
        <v>9.4</v>
      </c>
      <c r="AE158" s="138">
        <v>0.038</v>
      </c>
      <c r="AF158" s="184">
        <v>0.0002</v>
      </c>
      <c r="AG158" s="138">
        <v>0.01</v>
      </c>
      <c r="AH158" s="138">
        <v>0.001</v>
      </c>
      <c r="AI158" s="138">
        <v>0.005</v>
      </c>
      <c r="AJ158" s="138">
        <v>0.01</v>
      </c>
    </row>
    <row r="159" spans="1:36" ht="12.75">
      <c r="A159" s="133">
        <v>35900.302083333336</v>
      </c>
      <c r="B159" s="134" t="s">
        <v>2</v>
      </c>
      <c r="C159" s="136">
        <v>50</v>
      </c>
      <c r="D159" s="135">
        <v>6.6</v>
      </c>
      <c r="E159" s="136">
        <v>208</v>
      </c>
      <c r="F159" s="135"/>
      <c r="G159" s="135">
        <v>12.3</v>
      </c>
      <c r="H159" s="135">
        <v>4.7</v>
      </c>
      <c r="I159" s="137"/>
      <c r="J159" s="138">
        <v>3</v>
      </c>
      <c r="K159" s="138">
        <v>2</v>
      </c>
      <c r="L159" s="138"/>
      <c r="M159" s="138">
        <v>82</v>
      </c>
      <c r="N159" s="178">
        <v>0.66</v>
      </c>
      <c r="O159" s="138">
        <v>0.66</v>
      </c>
      <c r="P159" s="138">
        <v>0.01</v>
      </c>
      <c r="Q159" s="138">
        <v>0.05</v>
      </c>
      <c r="R159" s="138"/>
      <c r="S159" s="138">
        <v>0.05</v>
      </c>
      <c r="T159" s="138">
        <v>0.02</v>
      </c>
      <c r="U159" s="138">
        <v>6</v>
      </c>
      <c r="V159" s="138"/>
      <c r="W159" s="138">
        <v>0.003</v>
      </c>
      <c r="X159" s="138">
        <v>21.8</v>
      </c>
      <c r="Y159" s="138">
        <v>0.01</v>
      </c>
      <c r="Z159" s="137"/>
      <c r="AA159" s="137"/>
      <c r="AB159" s="137"/>
      <c r="AC159" s="138">
        <v>0.04</v>
      </c>
      <c r="AD159" s="138">
        <v>6.6</v>
      </c>
      <c r="AE159" s="137"/>
      <c r="AF159" s="184">
        <v>0.0002</v>
      </c>
      <c r="AG159" s="137"/>
      <c r="AH159" s="138">
        <v>0.001</v>
      </c>
      <c r="AI159" s="137"/>
      <c r="AJ159" s="137"/>
    </row>
    <row r="160" spans="1:36" ht="12.75">
      <c r="A160" s="133">
        <v>35929.40625</v>
      </c>
      <c r="B160" s="134" t="s">
        <v>3</v>
      </c>
      <c r="C160" s="136">
        <v>682</v>
      </c>
      <c r="D160" s="135">
        <v>7.7</v>
      </c>
      <c r="E160" s="136">
        <v>161</v>
      </c>
      <c r="F160" s="135"/>
      <c r="G160" s="135">
        <v>11.8</v>
      </c>
      <c r="H160" s="135">
        <v>9.5</v>
      </c>
      <c r="I160" s="138">
        <v>51</v>
      </c>
      <c r="J160" s="138">
        <v>6</v>
      </c>
      <c r="K160" s="138">
        <v>10</v>
      </c>
      <c r="L160" s="138">
        <v>0.01</v>
      </c>
      <c r="M160" s="138">
        <v>63</v>
      </c>
      <c r="N160" s="178">
        <v>0.11</v>
      </c>
      <c r="O160" s="138">
        <v>0.11</v>
      </c>
      <c r="P160" s="138">
        <v>0.01</v>
      </c>
      <c r="Q160" s="138">
        <v>0.08</v>
      </c>
      <c r="R160" s="184">
        <v>0.5</v>
      </c>
      <c r="S160" s="179">
        <v>0.006</v>
      </c>
      <c r="T160" s="138">
        <v>0.03</v>
      </c>
      <c r="U160" s="138">
        <v>20</v>
      </c>
      <c r="V160" s="184">
        <v>0.001</v>
      </c>
      <c r="W160" s="138">
        <v>0.003</v>
      </c>
      <c r="X160" s="138">
        <v>16.8</v>
      </c>
      <c r="Y160" s="138">
        <v>0.01</v>
      </c>
      <c r="Z160" s="138">
        <v>0.005</v>
      </c>
      <c r="AA160" s="138">
        <v>0.005</v>
      </c>
      <c r="AB160" s="184">
        <v>0.23</v>
      </c>
      <c r="AC160" s="138">
        <v>0.04</v>
      </c>
      <c r="AD160" s="138">
        <v>5</v>
      </c>
      <c r="AE160" s="138">
        <v>0.022</v>
      </c>
      <c r="AF160" s="184">
        <v>0.0002</v>
      </c>
      <c r="AG160" s="138">
        <v>0.01</v>
      </c>
      <c r="AH160" s="138">
        <v>0.001</v>
      </c>
      <c r="AI160" s="138">
        <v>0.005</v>
      </c>
      <c r="AJ160" s="138">
        <v>0.02</v>
      </c>
    </row>
    <row r="161" spans="1:36" ht="12" customHeight="1">
      <c r="A161" s="133">
        <v>35956.319444444445</v>
      </c>
      <c r="B161" s="134" t="s">
        <v>4</v>
      </c>
      <c r="C161" s="136">
        <v>238</v>
      </c>
      <c r="D161" s="135">
        <v>7</v>
      </c>
      <c r="E161" s="136">
        <v>139</v>
      </c>
      <c r="F161" s="135"/>
      <c r="G161" s="135">
        <v>10.9</v>
      </c>
      <c r="H161" s="135">
        <v>11.4</v>
      </c>
      <c r="I161" s="138"/>
      <c r="J161" s="184">
        <v>6</v>
      </c>
      <c r="K161" s="138">
        <v>8</v>
      </c>
      <c r="L161" s="138"/>
      <c r="M161" s="138">
        <v>54</v>
      </c>
      <c r="N161" s="178">
        <v>0.04</v>
      </c>
      <c r="O161" s="138">
        <v>0.04</v>
      </c>
      <c r="P161" s="138">
        <v>0.01</v>
      </c>
      <c r="Q161" s="138">
        <v>0.15</v>
      </c>
      <c r="R161" s="138"/>
      <c r="S161" s="179">
        <v>0.017</v>
      </c>
      <c r="T161" s="138">
        <v>0.01</v>
      </c>
      <c r="U161" s="138">
        <v>10</v>
      </c>
      <c r="V161" s="138"/>
      <c r="W161" s="138">
        <v>0.003</v>
      </c>
      <c r="X161" s="138">
        <v>14.9</v>
      </c>
      <c r="Y161" s="138">
        <v>0.01</v>
      </c>
      <c r="Z161" s="138"/>
      <c r="AA161" s="138"/>
      <c r="AB161" s="138"/>
      <c r="AC161" s="138">
        <v>0.04</v>
      </c>
      <c r="AD161" s="138">
        <v>4.1</v>
      </c>
      <c r="AE161" s="138"/>
      <c r="AF161" s="184">
        <v>0.0002</v>
      </c>
      <c r="AG161" s="138"/>
      <c r="AH161" s="138">
        <v>0.001</v>
      </c>
      <c r="AI161" s="138"/>
      <c r="AJ161" s="138"/>
    </row>
    <row r="162" spans="1:36" ht="12.75" hidden="1">
      <c r="A162" s="133">
        <v>35985.489583333336</v>
      </c>
      <c r="B162" s="134">
        <v>35985.489583333336</v>
      </c>
      <c r="C162" s="136">
        <v>434</v>
      </c>
      <c r="D162" s="135">
        <v>8.1</v>
      </c>
      <c r="E162" s="136">
        <v>181</v>
      </c>
      <c r="F162" s="135"/>
      <c r="G162" s="135">
        <v>14.1</v>
      </c>
      <c r="H162" s="135">
        <v>14.7</v>
      </c>
      <c r="I162" s="138">
        <v>44</v>
      </c>
      <c r="J162" s="138">
        <v>6</v>
      </c>
      <c r="K162" s="138">
        <v>36</v>
      </c>
      <c r="L162" s="138">
        <v>0.01</v>
      </c>
      <c r="M162" s="138">
        <v>80</v>
      </c>
      <c r="N162" s="178">
        <v>0.11</v>
      </c>
      <c r="O162" s="138">
        <v>0.11</v>
      </c>
      <c r="P162" s="138">
        <v>0.01</v>
      </c>
      <c r="Q162" s="138">
        <v>0.11</v>
      </c>
      <c r="R162" s="138">
        <v>0.2</v>
      </c>
      <c r="S162" s="179">
        <v>0.009</v>
      </c>
      <c r="T162" s="138">
        <v>0.01</v>
      </c>
      <c r="U162" s="138">
        <v>12</v>
      </c>
      <c r="V162" s="138">
        <v>0.001</v>
      </c>
      <c r="W162" s="138">
        <v>0.003</v>
      </c>
      <c r="X162" s="138">
        <v>24.6</v>
      </c>
      <c r="Y162" s="138">
        <v>0.01</v>
      </c>
      <c r="Z162" s="138"/>
      <c r="AA162" s="138"/>
      <c r="AB162" s="138">
        <v>0.12</v>
      </c>
      <c r="AC162" s="138">
        <v>0.04</v>
      </c>
      <c r="AD162" s="138">
        <v>4.5</v>
      </c>
      <c r="AE162" s="184">
        <v>0.042</v>
      </c>
      <c r="AF162" s="184">
        <v>0.0002</v>
      </c>
      <c r="AG162" s="138">
        <v>0.01</v>
      </c>
      <c r="AH162" s="138">
        <v>0.001</v>
      </c>
      <c r="AI162" s="138">
        <v>0.005</v>
      </c>
      <c r="AJ162" s="184">
        <v>0.04</v>
      </c>
    </row>
    <row r="163" spans="1:36" ht="12.75" hidden="1">
      <c r="A163" s="133">
        <v>35998</v>
      </c>
      <c r="B163" s="134">
        <v>700.2916666666666</v>
      </c>
      <c r="C163" s="136">
        <v>355</v>
      </c>
      <c r="D163" s="135">
        <v>7.3</v>
      </c>
      <c r="E163" s="136">
        <v>220</v>
      </c>
      <c r="F163" s="135"/>
      <c r="G163" s="135">
        <v>10.7</v>
      </c>
      <c r="H163" s="135">
        <v>13.1</v>
      </c>
      <c r="I163" s="166"/>
      <c r="J163" s="166"/>
      <c r="K163" s="166"/>
      <c r="L163" s="166"/>
      <c r="M163" s="166"/>
      <c r="N163" s="178">
        <v>0.1</v>
      </c>
      <c r="O163" s="138">
        <v>0.1</v>
      </c>
      <c r="P163" s="138">
        <v>0.01</v>
      </c>
      <c r="Q163" s="138">
        <v>0.05</v>
      </c>
      <c r="R163" s="138"/>
      <c r="S163" s="179">
        <v>0.006</v>
      </c>
      <c r="T163" s="138">
        <v>0.01</v>
      </c>
      <c r="U163" s="138">
        <v>5</v>
      </c>
      <c r="V163" s="138"/>
      <c r="W163" s="138"/>
      <c r="X163" s="138"/>
      <c r="Y163" s="138"/>
      <c r="Z163" s="138">
        <v>0.005</v>
      </c>
      <c r="AA163" s="138">
        <v>0.005</v>
      </c>
      <c r="AB163" s="138"/>
      <c r="AC163" s="138"/>
      <c r="AD163" s="138"/>
      <c r="AE163" s="138"/>
      <c r="AF163" s="138"/>
      <c r="AG163" s="138"/>
      <c r="AH163" s="138"/>
      <c r="AI163" s="138"/>
      <c r="AJ163" s="138"/>
    </row>
    <row r="164" spans="1:36" ht="12.75">
      <c r="A164" s="133"/>
      <c r="B164" s="134" t="s">
        <v>5</v>
      </c>
      <c r="C164" s="136">
        <f>AVERAGE(C162:C163)</f>
        <v>394.5</v>
      </c>
      <c r="D164" s="136">
        <f aca="true" t="shared" si="18" ref="D164:AJ164">AVERAGE(D162:D163)</f>
        <v>7.699999999999999</v>
      </c>
      <c r="E164" s="136">
        <f t="shared" si="18"/>
        <v>200.5</v>
      </c>
      <c r="F164" s="136"/>
      <c r="G164" s="136">
        <f t="shared" si="18"/>
        <v>12.399999999999999</v>
      </c>
      <c r="H164" s="136">
        <f t="shared" si="18"/>
        <v>13.899999999999999</v>
      </c>
      <c r="I164" s="136">
        <f t="shared" si="18"/>
        <v>44</v>
      </c>
      <c r="J164" s="136">
        <f t="shared" si="18"/>
        <v>6</v>
      </c>
      <c r="K164" s="136">
        <f t="shared" si="18"/>
        <v>36</v>
      </c>
      <c r="L164" s="136">
        <f t="shared" si="18"/>
        <v>0.01</v>
      </c>
      <c r="M164" s="136">
        <f t="shared" si="18"/>
        <v>80</v>
      </c>
      <c r="N164" s="136">
        <f t="shared" si="18"/>
        <v>0.10500000000000001</v>
      </c>
      <c r="O164" s="136">
        <f t="shared" si="18"/>
        <v>0.10500000000000001</v>
      </c>
      <c r="P164" s="138">
        <v>0.01</v>
      </c>
      <c r="Q164" s="136">
        <f t="shared" si="18"/>
        <v>0.08</v>
      </c>
      <c r="R164" s="136">
        <f t="shared" si="18"/>
        <v>0.2</v>
      </c>
      <c r="S164" s="136">
        <f t="shared" si="18"/>
        <v>0.0075</v>
      </c>
      <c r="T164" s="136">
        <f t="shared" si="18"/>
        <v>0.01</v>
      </c>
      <c r="U164" s="136">
        <f t="shared" si="18"/>
        <v>8.5</v>
      </c>
      <c r="V164" s="136">
        <f t="shared" si="18"/>
        <v>0.001</v>
      </c>
      <c r="W164" s="136">
        <f t="shared" si="18"/>
        <v>0.003</v>
      </c>
      <c r="X164" s="136">
        <f t="shared" si="18"/>
        <v>24.6</v>
      </c>
      <c r="Y164" s="136">
        <f t="shared" si="18"/>
        <v>0.01</v>
      </c>
      <c r="Z164" s="138">
        <v>0.005</v>
      </c>
      <c r="AA164" s="138">
        <v>0.005</v>
      </c>
      <c r="AB164" s="136">
        <f t="shared" si="18"/>
        <v>0.12</v>
      </c>
      <c r="AC164" s="136">
        <f t="shared" si="18"/>
        <v>0.04</v>
      </c>
      <c r="AD164" s="136">
        <f t="shared" si="18"/>
        <v>4.5</v>
      </c>
      <c r="AE164" s="136">
        <f t="shared" si="18"/>
        <v>0.042</v>
      </c>
      <c r="AF164" s="136">
        <f t="shared" si="18"/>
        <v>0.0002</v>
      </c>
      <c r="AG164" s="136">
        <f t="shared" si="18"/>
        <v>0.01</v>
      </c>
      <c r="AH164" s="136">
        <f t="shared" si="18"/>
        <v>0.001</v>
      </c>
      <c r="AI164" s="136">
        <f t="shared" si="18"/>
        <v>0.005</v>
      </c>
      <c r="AJ164" s="136">
        <f t="shared" si="18"/>
        <v>0.04</v>
      </c>
    </row>
    <row r="165" spans="1:36" ht="12.75" hidden="1">
      <c r="A165" s="133">
        <v>36012.375</v>
      </c>
      <c r="B165" s="134" t="s">
        <v>6</v>
      </c>
      <c r="C165" s="136">
        <v>561</v>
      </c>
      <c r="D165" s="135">
        <v>7.7</v>
      </c>
      <c r="E165" s="136">
        <v>218</v>
      </c>
      <c r="F165" s="135"/>
      <c r="G165" s="135">
        <v>7.3</v>
      </c>
      <c r="H165" s="135">
        <v>15.5</v>
      </c>
      <c r="I165" s="168"/>
      <c r="J165" s="138">
        <v>6</v>
      </c>
      <c r="K165" s="184">
        <v>230</v>
      </c>
      <c r="L165" s="138"/>
      <c r="M165" s="138">
        <v>81</v>
      </c>
      <c r="N165" s="178">
        <v>0.01</v>
      </c>
      <c r="O165" s="138">
        <v>0.05</v>
      </c>
      <c r="P165" s="184">
        <v>0.05</v>
      </c>
      <c r="Q165" s="138">
        <v>0.05</v>
      </c>
      <c r="R165" s="138"/>
      <c r="S165" s="183">
        <v>0.03</v>
      </c>
      <c r="T165" s="184">
        <v>0.16</v>
      </c>
      <c r="U165" s="184">
        <v>106</v>
      </c>
      <c r="V165" s="138"/>
      <c r="W165" s="138">
        <v>0.003</v>
      </c>
      <c r="X165" s="138">
        <v>21.4</v>
      </c>
      <c r="Y165" s="138">
        <v>0.01</v>
      </c>
      <c r="Z165" s="138"/>
      <c r="AA165" s="138"/>
      <c r="AB165" s="138"/>
      <c r="AC165" s="138">
        <v>0.04</v>
      </c>
      <c r="AD165" s="138">
        <v>6.6</v>
      </c>
      <c r="AE165" s="138"/>
      <c r="AF165" s="184">
        <v>0.0002</v>
      </c>
      <c r="AG165" s="138"/>
      <c r="AH165" s="138">
        <v>0.001</v>
      </c>
      <c r="AI165" s="138"/>
      <c r="AJ165" s="138"/>
    </row>
    <row r="166" spans="1:36" ht="12.75" hidden="1">
      <c r="A166" s="133">
        <v>36026.29513888889</v>
      </c>
      <c r="B166" s="134" t="s">
        <v>7</v>
      </c>
      <c r="C166" s="136">
        <v>88</v>
      </c>
      <c r="D166" s="135">
        <v>7</v>
      </c>
      <c r="E166" s="136">
        <v>223</v>
      </c>
      <c r="F166" s="135"/>
      <c r="G166" s="135">
        <v>9.9</v>
      </c>
      <c r="H166" s="135">
        <v>13.3</v>
      </c>
      <c r="I166" s="168"/>
      <c r="J166" s="168"/>
      <c r="K166" s="168"/>
      <c r="L166" s="168"/>
      <c r="M166" s="168"/>
      <c r="N166" s="178">
        <v>0.19</v>
      </c>
      <c r="O166" s="138">
        <v>0.19</v>
      </c>
      <c r="P166" s="138">
        <v>0.01</v>
      </c>
      <c r="Q166" s="138">
        <v>0.05</v>
      </c>
      <c r="R166" s="138"/>
      <c r="S166" s="179">
        <v>0.016</v>
      </c>
      <c r="T166" s="138">
        <v>0.01</v>
      </c>
      <c r="U166" s="138">
        <v>10</v>
      </c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</row>
    <row r="167" spans="1:36" ht="12.75">
      <c r="A167" s="133"/>
      <c r="B167" s="134" t="s">
        <v>6</v>
      </c>
      <c r="C167" s="136">
        <f>AVERAGE(C165:C166)</f>
        <v>324.5</v>
      </c>
      <c r="D167" s="136">
        <f aca="true" t="shared" si="19" ref="D167:AH167">AVERAGE(D165:D166)</f>
        <v>7.35</v>
      </c>
      <c r="E167" s="136">
        <f t="shared" si="19"/>
        <v>220.5</v>
      </c>
      <c r="F167" s="136"/>
      <c r="G167" s="136">
        <f t="shared" si="19"/>
        <v>8.6</v>
      </c>
      <c r="H167" s="136">
        <f t="shared" si="19"/>
        <v>14.4</v>
      </c>
      <c r="I167" s="136"/>
      <c r="J167" s="136">
        <v>6</v>
      </c>
      <c r="K167" s="136">
        <f t="shared" si="19"/>
        <v>230</v>
      </c>
      <c r="L167" s="136"/>
      <c r="M167" s="136">
        <f t="shared" si="19"/>
        <v>81</v>
      </c>
      <c r="N167" s="136">
        <f t="shared" si="19"/>
        <v>0.1</v>
      </c>
      <c r="O167" s="136">
        <f t="shared" si="19"/>
        <v>0.12</v>
      </c>
      <c r="P167" s="136">
        <f t="shared" si="19"/>
        <v>0.030000000000000002</v>
      </c>
      <c r="Q167" s="138">
        <v>0.05</v>
      </c>
      <c r="R167" s="136"/>
      <c r="S167" s="136">
        <f t="shared" si="19"/>
        <v>0.023</v>
      </c>
      <c r="T167" s="136">
        <f t="shared" si="19"/>
        <v>0.085</v>
      </c>
      <c r="U167" s="136">
        <f t="shared" si="19"/>
        <v>58</v>
      </c>
      <c r="V167" s="136"/>
      <c r="W167" s="136">
        <f t="shared" si="19"/>
        <v>0.003</v>
      </c>
      <c r="X167" s="136">
        <f t="shared" si="19"/>
        <v>21.4</v>
      </c>
      <c r="Y167" s="136">
        <f t="shared" si="19"/>
        <v>0.01</v>
      </c>
      <c r="Z167" s="136"/>
      <c r="AA167" s="136"/>
      <c r="AB167" s="136"/>
      <c r="AC167" s="136">
        <f t="shared" si="19"/>
        <v>0.04</v>
      </c>
      <c r="AD167" s="136">
        <f t="shared" si="19"/>
        <v>6.6</v>
      </c>
      <c r="AE167" s="136"/>
      <c r="AF167" s="136">
        <f t="shared" si="19"/>
        <v>0.0002</v>
      </c>
      <c r="AG167" s="136"/>
      <c r="AH167" s="136">
        <f t="shared" si="19"/>
        <v>0.001</v>
      </c>
      <c r="AI167" s="136"/>
      <c r="AJ167" s="136"/>
    </row>
    <row r="168" spans="1:36" ht="12.75" hidden="1">
      <c r="A168" s="133">
        <v>36041.291666666664</v>
      </c>
      <c r="B168" s="134">
        <v>36041.291666666664</v>
      </c>
      <c r="C168" s="136">
        <v>313</v>
      </c>
      <c r="D168" s="135">
        <v>6.8</v>
      </c>
      <c r="E168" s="136">
        <v>200</v>
      </c>
      <c r="F168" s="135"/>
      <c r="G168" s="135">
        <v>10.9</v>
      </c>
      <c r="H168" s="135">
        <v>12.5</v>
      </c>
      <c r="I168" s="168"/>
      <c r="J168" s="138">
        <v>3</v>
      </c>
      <c r="K168" s="138">
        <v>22</v>
      </c>
      <c r="L168" s="138"/>
      <c r="M168" s="138">
        <v>81</v>
      </c>
      <c r="N168" s="178">
        <v>0.05</v>
      </c>
      <c r="O168" s="138">
        <v>0.05</v>
      </c>
      <c r="P168" s="138">
        <v>0.01</v>
      </c>
      <c r="Q168" s="138">
        <v>0.05</v>
      </c>
      <c r="R168" s="138"/>
      <c r="S168" s="179">
        <v>0.019</v>
      </c>
      <c r="T168" s="138">
        <v>0.02</v>
      </c>
      <c r="U168" s="138">
        <v>16</v>
      </c>
      <c r="V168" s="138"/>
      <c r="W168" s="138">
        <v>0.003</v>
      </c>
      <c r="X168" s="138">
        <v>21.8</v>
      </c>
      <c r="Y168" s="138">
        <v>0.01</v>
      </c>
      <c r="Z168" s="138"/>
      <c r="AA168" s="138"/>
      <c r="AB168" s="138"/>
      <c r="AC168" s="138">
        <v>0.04</v>
      </c>
      <c r="AD168" s="138">
        <v>6.5</v>
      </c>
      <c r="AE168" s="138"/>
      <c r="AF168" s="184">
        <v>0.0002</v>
      </c>
      <c r="AG168" s="138"/>
      <c r="AH168" s="138">
        <v>0.001</v>
      </c>
      <c r="AI168" s="138"/>
      <c r="AJ168" s="138"/>
    </row>
    <row r="169" spans="1:36" ht="12.75" hidden="1">
      <c r="A169" s="133">
        <v>36054.291666666664</v>
      </c>
      <c r="B169" s="134">
        <v>36054.291666666664</v>
      </c>
      <c r="C169" s="136">
        <v>96</v>
      </c>
      <c r="D169" s="135">
        <v>6.6</v>
      </c>
      <c r="E169" s="136">
        <v>196</v>
      </c>
      <c r="F169" s="135"/>
      <c r="G169" s="135">
        <v>10.7</v>
      </c>
      <c r="H169" s="135">
        <v>13.5</v>
      </c>
      <c r="I169" s="168"/>
      <c r="J169" s="168"/>
      <c r="K169" s="136"/>
      <c r="L169" s="138"/>
      <c r="M169" s="138"/>
      <c r="N169" s="178">
        <v>0.07</v>
      </c>
      <c r="O169" s="138">
        <v>0.07</v>
      </c>
      <c r="P169" s="138">
        <v>0.01</v>
      </c>
      <c r="Q169" s="138">
        <v>0.05</v>
      </c>
      <c r="R169" s="138"/>
      <c r="S169" s="179">
        <v>0.008</v>
      </c>
      <c r="T169" s="138">
        <v>0.01</v>
      </c>
      <c r="U169" s="138">
        <v>10</v>
      </c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</row>
    <row r="170" spans="1:36" ht="12.75">
      <c r="A170" s="133"/>
      <c r="B170" s="134" t="s">
        <v>7</v>
      </c>
      <c r="C170" s="136">
        <f>AVERAGE(C168:C169)</f>
        <v>204.5</v>
      </c>
      <c r="D170" s="136">
        <f aca="true" t="shared" si="20" ref="D170:AH170">AVERAGE(D168:D169)</f>
        <v>6.699999999999999</v>
      </c>
      <c r="E170" s="136">
        <f t="shared" si="20"/>
        <v>198</v>
      </c>
      <c r="F170" s="136"/>
      <c r="G170" s="136">
        <f t="shared" si="20"/>
        <v>10.8</v>
      </c>
      <c r="H170" s="136">
        <f t="shared" si="20"/>
        <v>13</v>
      </c>
      <c r="I170" s="136"/>
      <c r="J170" s="136">
        <f>AVERAGE(J168:J169)</f>
        <v>3</v>
      </c>
      <c r="K170" s="136">
        <f t="shared" si="20"/>
        <v>22</v>
      </c>
      <c r="L170" s="136"/>
      <c r="M170" s="136">
        <f t="shared" si="20"/>
        <v>81</v>
      </c>
      <c r="N170" s="136">
        <f t="shared" si="20"/>
        <v>0.060000000000000005</v>
      </c>
      <c r="O170" s="136">
        <f t="shared" si="20"/>
        <v>0.060000000000000005</v>
      </c>
      <c r="P170" s="138">
        <v>0.01</v>
      </c>
      <c r="Q170" s="136">
        <f t="shared" si="20"/>
        <v>0.05</v>
      </c>
      <c r="R170" s="136"/>
      <c r="S170" s="136">
        <f t="shared" si="20"/>
        <v>0.0135</v>
      </c>
      <c r="T170" s="136">
        <f t="shared" si="20"/>
        <v>0.015</v>
      </c>
      <c r="U170" s="136">
        <f t="shared" si="20"/>
        <v>13</v>
      </c>
      <c r="V170" s="136"/>
      <c r="W170" s="136">
        <f t="shared" si="20"/>
        <v>0.003</v>
      </c>
      <c r="X170" s="136">
        <f t="shared" si="20"/>
        <v>21.8</v>
      </c>
      <c r="Y170" s="136">
        <f t="shared" si="20"/>
        <v>0.01</v>
      </c>
      <c r="Z170" s="136"/>
      <c r="AA170" s="136"/>
      <c r="AB170" s="136"/>
      <c r="AC170" s="136">
        <f t="shared" si="20"/>
        <v>0.04</v>
      </c>
      <c r="AD170" s="136">
        <f t="shared" si="20"/>
        <v>6.5</v>
      </c>
      <c r="AE170" s="136"/>
      <c r="AF170" s="136">
        <f t="shared" si="20"/>
        <v>0.0002</v>
      </c>
      <c r="AG170" s="136"/>
      <c r="AH170" s="136">
        <f t="shared" si="20"/>
        <v>0.001</v>
      </c>
      <c r="AI170" s="136"/>
      <c r="AJ170" s="136"/>
    </row>
    <row r="171" spans="1:36" ht="12.75">
      <c r="A171" s="133">
        <v>36082.427083333336</v>
      </c>
      <c r="B171" s="134" t="s">
        <v>8</v>
      </c>
      <c r="C171" s="136">
        <v>34</v>
      </c>
      <c r="D171" s="135">
        <v>6.8</v>
      </c>
      <c r="E171" s="136">
        <v>257</v>
      </c>
      <c r="F171" s="135"/>
      <c r="G171" s="135">
        <v>12.6</v>
      </c>
      <c r="H171" s="135">
        <v>9.5</v>
      </c>
      <c r="I171" s="138">
        <v>82</v>
      </c>
      <c r="J171" s="138">
        <v>2</v>
      </c>
      <c r="K171" s="136">
        <v>3</v>
      </c>
      <c r="L171" s="138">
        <v>0.01</v>
      </c>
      <c r="M171" s="138">
        <v>102</v>
      </c>
      <c r="N171" s="178">
        <v>0.02</v>
      </c>
      <c r="O171" s="138">
        <v>0.02</v>
      </c>
      <c r="P171" s="138">
        <v>0.01</v>
      </c>
      <c r="Q171" s="138">
        <v>0.06</v>
      </c>
      <c r="R171" s="138">
        <v>0.2</v>
      </c>
      <c r="S171" s="138">
        <v>0.05</v>
      </c>
      <c r="T171" s="138">
        <v>0.01</v>
      </c>
      <c r="U171" s="138">
        <v>5</v>
      </c>
      <c r="V171" s="138">
        <v>0.001</v>
      </c>
      <c r="W171" s="138">
        <v>0.003</v>
      </c>
      <c r="X171" s="138">
        <v>26.7</v>
      </c>
      <c r="Y171" s="138">
        <v>0.01</v>
      </c>
      <c r="Z171" s="138">
        <v>0.005</v>
      </c>
      <c r="AA171" s="138">
        <v>0.005</v>
      </c>
      <c r="AB171" s="138">
        <v>0.04</v>
      </c>
      <c r="AC171" s="138">
        <v>0.04</v>
      </c>
      <c r="AD171" s="138">
        <v>8.6</v>
      </c>
      <c r="AE171" s="138">
        <v>0.013</v>
      </c>
      <c r="AF171" s="184">
        <v>0.0002</v>
      </c>
      <c r="AG171" s="138">
        <v>0.01</v>
      </c>
      <c r="AH171" s="138">
        <v>0.001</v>
      </c>
      <c r="AI171" s="138">
        <v>0.005</v>
      </c>
      <c r="AJ171" s="138">
        <v>0.01</v>
      </c>
    </row>
    <row r="172" spans="1:36" ht="12.75">
      <c r="A172" s="133">
        <v>36110.291666666664</v>
      </c>
      <c r="B172" s="134" t="s">
        <v>9</v>
      </c>
      <c r="C172" s="136">
        <v>32</v>
      </c>
      <c r="D172" s="135">
        <v>6.4</v>
      </c>
      <c r="E172" s="136">
        <v>239</v>
      </c>
      <c r="F172" s="135"/>
      <c r="G172" s="135">
        <v>14.1</v>
      </c>
      <c r="H172" s="135">
        <v>1</v>
      </c>
      <c r="I172" s="168"/>
      <c r="J172" s="138">
        <v>3</v>
      </c>
      <c r="K172" s="136">
        <v>2</v>
      </c>
      <c r="L172" s="138"/>
      <c r="M172" s="138">
        <v>94</v>
      </c>
      <c r="N172" s="178">
        <v>0.03</v>
      </c>
      <c r="O172" s="138">
        <v>0.03</v>
      </c>
      <c r="P172" s="138">
        <v>0.01</v>
      </c>
      <c r="Q172" s="138">
        <v>0.05</v>
      </c>
      <c r="R172" s="138"/>
      <c r="S172" s="138">
        <v>0.05</v>
      </c>
      <c r="T172" s="138">
        <v>0.01</v>
      </c>
      <c r="U172" s="138">
        <v>5</v>
      </c>
      <c r="V172" s="138"/>
      <c r="W172" s="138">
        <v>0.003</v>
      </c>
      <c r="X172" s="138">
        <v>25.4</v>
      </c>
      <c r="Y172" s="138">
        <v>0.01</v>
      </c>
      <c r="Z172" s="138"/>
      <c r="AA172" s="138"/>
      <c r="AB172" s="138"/>
      <c r="AC172" s="138">
        <v>0.04</v>
      </c>
      <c r="AD172" s="138">
        <v>7.3</v>
      </c>
      <c r="AE172" s="138"/>
      <c r="AF172" s="184">
        <v>0.0002</v>
      </c>
      <c r="AG172" s="138"/>
      <c r="AH172" s="138">
        <v>0.001</v>
      </c>
      <c r="AI172" s="138"/>
      <c r="AJ172" s="138"/>
    </row>
    <row r="173" spans="1:36" ht="12.75">
      <c r="A173" s="133">
        <v>36137.354166666664</v>
      </c>
      <c r="B173" s="134" t="s">
        <v>10</v>
      </c>
      <c r="C173" s="136">
        <v>61</v>
      </c>
      <c r="D173" s="135">
        <v>7.3</v>
      </c>
      <c r="E173" s="136">
        <v>677</v>
      </c>
      <c r="F173" s="135"/>
      <c r="G173" s="135">
        <v>10.7</v>
      </c>
      <c r="H173" s="135">
        <v>0.7</v>
      </c>
      <c r="I173" s="168"/>
      <c r="J173" s="138">
        <v>3</v>
      </c>
      <c r="K173" s="136">
        <v>11</v>
      </c>
      <c r="L173" s="138"/>
      <c r="M173" s="184">
        <v>337</v>
      </c>
      <c r="N173" s="182">
        <v>0.8</v>
      </c>
      <c r="O173" s="138">
        <v>0.8</v>
      </c>
      <c r="P173" s="138">
        <v>0.01</v>
      </c>
      <c r="Q173" s="138">
        <v>0.05</v>
      </c>
      <c r="R173" s="138"/>
      <c r="S173" s="179">
        <v>0.014</v>
      </c>
      <c r="T173" s="138">
        <v>0.01</v>
      </c>
      <c r="U173" s="138">
        <v>20</v>
      </c>
      <c r="V173" s="138"/>
      <c r="W173" s="138">
        <v>0.003</v>
      </c>
      <c r="X173" s="184">
        <v>94.5</v>
      </c>
      <c r="Y173" s="138">
        <v>0.01</v>
      </c>
      <c r="Z173" s="138"/>
      <c r="AA173" s="138"/>
      <c r="AB173" s="138"/>
      <c r="AC173" s="138">
        <v>0.04</v>
      </c>
      <c r="AD173" s="184">
        <v>24.5</v>
      </c>
      <c r="AE173" s="138"/>
      <c r="AF173" s="184">
        <v>0.0002</v>
      </c>
      <c r="AG173" s="138"/>
      <c r="AH173" s="184">
        <v>0.002</v>
      </c>
      <c r="AI173" s="138"/>
      <c r="AJ173" s="138"/>
    </row>
    <row r="174" spans="1:36" ht="12.75">
      <c r="A174" s="25" t="s">
        <v>370</v>
      </c>
      <c r="B174" s="25"/>
      <c r="C174" s="25"/>
      <c r="D174" s="190">
        <f>AVERAGE(D156:D173)</f>
        <v>7.152777777777778</v>
      </c>
      <c r="E174" s="190">
        <f aca="true" t="shared" si="21" ref="E174:AJ174">AVERAGE(E156:E173)</f>
        <v>245.77777777777777</v>
      </c>
      <c r="F174" s="190"/>
      <c r="G174" s="190">
        <f t="shared" si="21"/>
        <v>11.488888888888887</v>
      </c>
      <c r="H174" s="190">
        <f t="shared" si="21"/>
        <v>9.233333333333333</v>
      </c>
      <c r="I174" s="190">
        <f t="shared" si="21"/>
        <v>61.8</v>
      </c>
      <c r="J174" s="190">
        <f t="shared" si="21"/>
        <v>4.333333333333333</v>
      </c>
      <c r="K174" s="190">
        <f t="shared" si="21"/>
        <v>40.93333333333333</v>
      </c>
      <c r="L174" s="191">
        <f t="shared" si="21"/>
        <v>0.01</v>
      </c>
      <c r="M174" s="190">
        <f t="shared" si="21"/>
        <v>104.06666666666666</v>
      </c>
      <c r="N174" s="191">
        <f t="shared" si="21"/>
        <v>0.16750000000000004</v>
      </c>
      <c r="O174" s="191">
        <f t="shared" si="21"/>
        <v>0.17194444444444443</v>
      </c>
      <c r="P174" s="191">
        <f t="shared" si="21"/>
        <v>0.013888888888888892</v>
      </c>
      <c r="Q174" s="191">
        <f t="shared" si="21"/>
        <v>0.0627777777777778</v>
      </c>
      <c r="R174" s="190">
        <f t="shared" si="21"/>
        <v>0.27999999999999997</v>
      </c>
      <c r="S174" s="191">
        <f t="shared" si="21"/>
        <v>0.021722222222222223</v>
      </c>
      <c r="T174" s="191">
        <f t="shared" si="21"/>
        <v>0.02611111111111112</v>
      </c>
      <c r="U174" s="190">
        <f t="shared" si="21"/>
        <v>19.416666666666668</v>
      </c>
      <c r="V174" s="191">
        <f t="shared" si="21"/>
        <v>0.001</v>
      </c>
      <c r="W174" s="191">
        <f t="shared" si="21"/>
        <v>0.0030000000000000005</v>
      </c>
      <c r="X174" s="190">
        <f t="shared" si="21"/>
        <v>28.299999999999997</v>
      </c>
      <c r="Y174" s="191">
        <f t="shared" si="21"/>
        <v>0.01</v>
      </c>
      <c r="Z174" s="191">
        <f t="shared" si="21"/>
        <v>0.005</v>
      </c>
      <c r="AA174" s="191">
        <f t="shared" si="21"/>
        <v>0.005</v>
      </c>
      <c r="AB174" s="190">
        <f t="shared" si="21"/>
        <v>0.10800000000000001</v>
      </c>
      <c r="AC174" s="189">
        <f t="shared" si="21"/>
        <v>0.04</v>
      </c>
      <c r="AD174" s="190">
        <f t="shared" si="21"/>
        <v>8.08</v>
      </c>
      <c r="AE174" s="191">
        <f t="shared" si="21"/>
        <v>0.031400000000000004</v>
      </c>
      <c r="AF174" s="192">
        <f t="shared" si="21"/>
        <v>0.00020000000000000006</v>
      </c>
      <c r="AG174" s="191">
        <f t="shared" si="21"/>
        <v>0.01</v>
      </c>
      <c r="AH174" s="191">
        <f t="shared" si="21"/>
        <v>0.0010666666666666672</v>
      </c>
      <c r="AI174" s="191">
        <f t="shared" si="21"/>
        <v>0.005</v>
      </c>
      <c r="AJ174" s="191">
        <f t="shared" si="21"/>
        <v>0.024</v>
      </c>
    </row>
    <row r="175" spans="1:36" ht="12.75">
      <c r="A175" s="25" t="s">
        <v>368</v>
      </c>
      <c r="B175" s="96"/>
      <c r="C175" s="99"/>
      <c r="D175" s="101"/>
      <c r="E175" s="99" t="s">
        <v>294</v>
      </c>
      <c r="F175" s="99"/>
      <c r="G175" s="99"/>
      <c r="H175" s="99"/>
      <c r="I175" s="130"/>
      <c r="J175" s="130"/>
      <c r="K175" s="96"/>
      <c r="L175" s="130"/>
      <c r="M175" s="130"/>
      <c r="N175" s="130"/>
      <c r="O175" s="130"/>
      <c r="P175" s="96"/>
      <c r="Q175" s="96"/>
      <c r="R175" s="99" t="s">
        <v>154</v>
      </c>
      <c r="S175" s="130"/>
      <c r="T175" s="137"/>
      <c r="U175" s="137"/>
      <c r="V175" s="137"/>
      <c r="W175" s="137"/>
      <c r="X175" s="130"/>
      <c r="Y175" s="130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ht="12.75">
      <c r="A176" s="96"/>
      <c r="B176" s="96"/>
      <c r="C176" s="99" t="s">
        <v>356</v>
      </c>
      <c r="D176" s="193"/>
      <c r="E176" s="99" t="s">
        <v>299</v>
      </c>
      <c r="F176" s="99"/>
      <c r="G176" s="99" t="s">
        <v>300</v>
      </c>
      <c r="H176" s="99"/>
      <c r="I176" s="99" t="s">
        <v>302</v>
      </c>
      <c r="J176" s="99" t="s">
        <v>303</v>
      </c>
      <c r="K176" s="99"/>
      <c r="L176" s="99"/>
      <c r="M176" s="99" t="s">
        <v>357</v>
      </c>
      <c r="N176" s="99"/>
      <c r="O176" s="99" t="s">
        <v>305</v>
      </c>
      <c r="P176" s="99" t="s">
        <v>306</v>
      </c>
      <c r="Q176" s="99" t="s">
        <v>307</v>
      </c>
      <c r="R176" s="99" t="s">
        <v>308</v>
      </c>
      <c r="S176" s="132" t="s">
        <v>310</v>
      </c>
      <c r="T176" s="102" t="s">
        <v>311</v>
      </c>
      <c r="U176" s="102" t="s">
        <v>312</v>
      </c>
      <c r="V176" s="102" t="s">
        <v>316</v>
      </c>
      <c r="W176" s="102" t="s">
        <v>317</v>
      </c>
      <c r="X176" s="102" t="s">
        <v>319</v>
      </c>
      <c r="Y176" s="102" t="s">
        <v>321</v>
      </c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</row>
    <row r="177" spans="1:36" ht="12.75">
      <c r="A177" s="96"/>
      <c r="B177" s="96"/>
      <c r="C177" s="99" t="s">
        <v>359</v>
      </c>
      <c r="D177" s="101" t="s">
        <v>298</v>
      </c>
      <c r="E177" s="99" t="s">
        <v>328</v>
      </c>
      <c r="F177" s="99" t="s">
        <v>329</v>
      </c>
      <c r="G177" s="99" t="s">
        <v>330</v>
      </c>
      <c r="H177" s="99" t="s">
        <v>331</v>
      </c>
      <c r="I177" s="99" t="s">
        <v>332</v>
      </c>
      <c r="J177" s="99" t="s">
        <v>334</v>
      </c>
      <c r="K177" s="99" t="s">
        <v>99</v>
      </c>
      <c r="L177" s="99" t="s">
        <v>360</v>
      </c>
      <c r="M177" s="99" t="s">
        <v>361</v>
      </c>
      <c r="N177" s="99" t="s">
        <v>361</v>
      </c>
      <c r="O177" s="99" t="s">
        <v>362</v>
      </c>
      <c r="P177" s="99" t="s">
        <v>336</v>
      </c>
      <c r="Q177" s="99" t="s">
        <v>216</v>
      </c>
      <c r="R177" s="131" t="s">
        <v>216</v>
      </c>
      <c r="S177" s="131" t="s">
        <v>330</v>
      </c>
      <c r="T177" s="131" t="s">
        <v>330</v>
      </c>
      <c r="U177" s="131" t="s">
        <v>330</v>
      </c>
      <c r="V177" s="131" t="s">
        <v>330</v>
      </c>
      <c r="W177" s="131" t="s">
        <v>330</v>
      </c>
      <c r="X177" s="131" t="s">
        <v>330</v>
      </c>
      <c r="Y177" s="131" t="s">
        <v>330</v>
      </c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ht="12.75">
      <c r="A178" s="103" t="s">
        <v>337</v>
      </c>
      <c r="B178" s="103" t="s">
        <v>367</v>
      </c>
      <c r="C178" s="103" t="s">
        <v>366</v>
      </c>
      <c r="D178" s="104" t="s">
        <v>364</v>
      </c>
      <c r="E178" s="103" t="s">
        <v>339</v>
      </c>
      <c r="F178" s="103" t="s">
        <v>155</v>
      </c>
      <c r="G178" s="103" t="s">
        <v>156</v>
      </c>
      <c r="H178" s="103" t="s">
        <v>157</v>
      </c>
      <c r="I178" s="103" t="s">
        <v>156</v>
      </c>
      <c r="J178" s="103" t="s">
        <v>158</v>
      </c>
      <c r="K178" s="103" t="s">
        <v>100</v>
      </c>
      <c r="L178" s="103" t="s">
        <v>159</v>
      </c>
      <c r="M178" s="103" t="s">
        <v>159</v>
      </c>
      <c r="N178" s="103" t="s">
        <v>159</v>
      </c>
      <c r="O178" s="103" t="s">
        <v>156</v>
      </c>
      <c r="P178" s="106" t="s">
        <v>160</v>
      </c>
      <c r="Q178" s="103" t="s">
        <v>160</v>
      </c>
      <c r="R178" s="103" t="s">
        <v>341</v>
      </c>
      <c r="S178" s="103" t="s">
        <v>156</v>
      </c>
      <c r="T178" s="103" t="s">
        <v>156</v>
      </c>
      <c r="U178" s="103" t="s">
        <v>156</v>
      </c>
      <c r="V178" s="103" t="s">
        <v>156</v>
      </c>
      <c r="W178" s="103" t="s">
        <v>156</v>
      </c>
      <c r="X178" s="103" t="s">
        <v>156</v>
      </c>
      <c r="Y178" s="103" t="s">
        <v>156</v>
      </c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</row>
    <row r="179" spans="1:36" ht="12.75">
      <c r="A179" s="102"/>
      <c r="B179" s="102"/>
      <c r="C179" s="102"/>
      <c r="D179" s="107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12"/>
      <c r="Q179" s="102"/>
      <c r="R179" s="102"/>
      <c r="S179" s="102"/>
      <c r="T179" s="102"/>
      <c r="U179" s="102"/>
      <c r="V179" s="102"/>
      <c r="W179" s="102"/>
      <c r="X179" s="102"/>
      <c r="Y179" s="102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:36" ht="12.75">
      <c r="A180" s="133">
        <v>35837.333333333336</v>
      </c>
      <c r="B180" s="134">
        <v>35837.333333333336</v>
      </c>
      <c r="C180" s="138"/>
      <c r="D180" s="135">
        <v>7.6</v>
      </c>
      <c r="E180" s="138">
        <v>399</v>
      </c>
      <c r="F180" s="138"/>
      <c r="G180" s="135">
        <v>11.2</v>
      </c>
      <c r="H180" s="135">
        <v>-0.2</v>
      </c>
      <c r="I180" s="138">
        <v>-3</v>
      </c>
      <c r="J180" s="138">
        <v>37</v>
      </c>
      <c r="K180" s="138">
        <v>145</v>
      </c>
      <c r="L180" s="184">
        <v>0.84</v>
      </c>
      <c r="M180" s="184">
        <v>0.84</v>
      </c>
      <c r="N180" s="138">
        <v>-0.01</v>
      </c>
      <c r="O180" s="178">
        <v>0.1</v>
      </c>
      <c r="P180" s="179">
        <v>-0.005</v>
      </c>
      <c r="Q180" s="138">
        <v>-0.01</v>
      </c>
      <c r="R180" s="138">
        <v>-5</v>
      </c>
      <c r="S180" s="138">
        <v>-0.003</v>
      </c>
      <c r="T180" s="138">
        <v>46.5</v>
      </c>
      <c r="U180" s="138">
        <v>-0.01</v>
      </c>
      <c r="V180" s="138">
        <v>-0.04</v>
      </c>
      <c r="W180" s="135">
        <v>7</v>
      </c>
      <c r="X180" s="138">
        <v>-0.0002</v>
      </c>
      <c r="Y180" s="138">
        <v>-0.001</v>
      </c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:36" ht="12.75">
      <c r="A181" s="133">
        <v>35900.336805555555</v>
      </c>
      <c r="B181" s="134">
        <v>35900.336805555555</v>
      </c>
      <c r="C181" s="138"/>
      <c r="D181" s="135">
        <v>7.2</v>
      </c>
      <c r="E181" s="138">
        <v>219</v>
      </c>
      <c r="F181" s="138"/>
      <c r="G181" s="135">
        <v>11</v>
      </c>
      <c r="H181" s="135">
        <v>5.2</v>
      </c>
      <c r="I181" s="138">
        <v>-6</v>
      </c>
      <c r="J181" s="184">
        <v>300</v>
      </c>
      <c r="K181" s="138">
        <v>73</v>
      </c>
      <c r="L181" s="138">
        <v>0.25</v>
      </c>
      <c r="M181" s="138">
        <v>0.26</v>
      </c>
      <c r="N181" s="184">
        <v>0.01</v>
      </c>
      <c r="O181" s="178">
        <v>0.08</v>
      </c>
      <c r="P181" s="183">
        <v>0.105</v>
      </c>
      <c r="Q181" s="184">
        <v>0.22</v>
      </c>
      <c r="R181" s="184">
        <v>140</v>
      </c>
      <c r="S181" s="138">
        <v>-0.003</v>
      </c>
      <c r="T181" s="138">
        <v>23.1</v>
      </c>
      <c r="U181" s="138">
        <v>-0.01</v>
      </c>
      <c r="V181" s="138">
        <v>-0.04</v>
      </c>
      <c r="W181" s="135">
        <v>3.8</v>
      </c>
      <c r="X181" s="138">
        <v>-0.0002</v>
      </c>
      <c r="Y181" s="138">
        <v>-0.001</v>
      </c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:36" ht="12.75">
      <c r="A182" s="133">
        <v>36041.322916666664</v>
      </c>
      <c r="B182" s="134">
        <v>36041.322916666664</v>
      </c>
      <c r="C182" s="168"/>
      <c r="D182" s="135">
        <v>7.2</v>
      </c>
      <c r="E182" s="138">
        <v>355</v>
      </c>
      <c r="F182" s="138"/>
      <c r="G182" s="135">
        <v>8.6</v>
      </c>
      <c r="H182" s="135">
        <v>14.6</v>
      </c>
      <c r="I182" s="138">
        <v>-6</v>
      </c>
      <c r="J182" s="138">
        <v>250</v>
      </c>
      <c r="K182" s="138">
        <v>157</v>
      </c>
      <c r="L182" s="138">
        <v>0.32</v>
      </c>
      <c r="M182" s="138">
        <v>0.32</v>
      </c>
      <c r="N182" s="138">
        <v>-0.01</v>
      </c>
      <c r="O182" s="178">
        <v>-0.1</v>
      </c>
      <c r="P182" s="179">
        <v>0.078</v>
      </c>
      <c r="Q182" s="138">
        <v>0.09</v>
      </c>
      <c r="R182" s="138">
        <v>34</v>
      </c>
      <c r="S182" s="138">
        <v>-0.003</v>
      </c>
      <c r="T182" s="138">
        <v>50.8</v>
      </c>
      <c r="U182" s="138">
        <v>-0.01</v>
      </c>
      <c r="V182" s="138">
        <v>-0.04</v>
      </c>
      <c r="W182" s="135">
        <v>7.3</v>
      </c>
      <c r="X182" s="138">
        <v>-0.0002</v>
      </c>
      <c r="Y182" s="138">
        <v>-0.001</v>
      </c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:36" ht="12.75">
      <c r="A183" s="133">
        <v>36110.32638888889</v>
      </c>
      <c r="B183" s="134">
        <v>36110.32638888889</v>
      </c>
      <c r="C183" s="168"/>
      <c r="D183" s="135">
        <v>7.3</v>
      </c>
      <c r="E183" s="138">
        <v>433</v>
      </c>
      <c r="F183" s="138"/>
      <c r="G183" s="135">
        <v>11.8</v>
      </c>
      <c r="H183" s="135">
        <v>1.4</v>
      </c>
      <c r="I183" s="138">
        <v>-3</v>
      </c>
      <c r="J183" s="138">
        <v>110</v>
      </c>
      <c r="K183" s="184">
        <v>158</v>
      </c>
      <c r="L183" s="138">
        <v>0.79</v>
      </c>
      <c r="M183" s="138">
        <v>0.79</v>
      </c>
      <c r="N183" s="138">
        <v>-0.01</v>
      </c>
      <c r="O183" s="182">
        <v>0.22</v>
      </c>
      <c r="P183" s="179">
        <v>0.025</v>
      </c>
      <c r="Q183" s="138">
        <v>0.06</v>
      </c>
      <c r="R183" s="138">
        <v>46</v>
      </c>
      <c r="S183" s="138">
        <v>-0.003</v>
      </c>
      <c r="T183" s="184">
        <v>51.1</v>
      </c>
      <c r="U183" s="138">
        <v>-0.01</v>
      </c>
      <c r="V183" s="138">
        <v>-0.04</v>
      </c>
      <c r="W183" s="180">
        <v>7.4</v>
      </c>
      <c r="X183" s="138">
        <v>-0.0002</v>
      </c>
      <c r="Y183" s="138">
        <v>-0.001</v>
      </c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:36" ht="12.75">
      <c r="A184" s="25" t="s">
        <v>369</v>
      </c>
      <c r="B184" s="113"/>
      <c r="C184" s="113"/>
      <c r="D184" s="113"/>
      <c r="E184" s="114" t="s">
        <v>294</v>
      </c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4" t="s">
        <v>154</v>
      </c>
      <c r="V184" s="114"/>
      <c r="W184" s="113"/>
      <c r="X184" s="113"/>
      <c r="Y184" s="113"/>
      <c r="Z184" s="114" t="s">
        <v>295</v>
      </c>
      <c r="AA184" s="114" t="s">
        <v>295</v>
      </c>
      <c r="AB184" s="113"/>
      <c r="AC184" s="113"/>
      <c r="AD184" s="113"/>
      <c r="AE184" s="113"/>
      <c r="AF184" s="113"/>
      <c r="AG184" s="113"/>
      <c r="AH184" s="113"/>
      <c r="AI184" s="113"/>
      <c r="AJ184" s="113"/>
    </row>
    <row r="185" spans="1:36" ht="12.75">
      <c r="A185" s="113"/>
      <c r="B185" s="113"/>
      <c r="C185" s="114" t="s">
        <v>356</v>
      </c>
      <c r="D185" s="113"/>
      <c r="E185" s="114" t="s">
        <v>299</v>
      </c>
      <c r="F185" s="113"/>
      <c r="G185" s="114" t="s">
        <v>300</v>
      </c>
      <c r="H185" s="113"/>
      <c r="I185" s="114" t="s">
        <v>301</v>
      </c>
      <c r="J185" s="114" t="s">
        <v>302</v>
      </c>
      <c r="K185" s="114" t="s">
        <v>303</v>
      </c>
      <c r="L185" s="114" t="s">
        <v>304</v>
      </c>
      <c r="M185" s="114"/>
      <c r="N185" s="114"/>
      <c r="O185" s="114" t="s">
        <v>357</v>
      </c>
      <c r="P185" s="114"/>
      <c r="Q185" s="114" t="s">
        <v>305</v>
      </c>
      <c r="R185" s="114" t="s">
        <v>305</v>
      </c>
      <c r="S185" s="114" t="s">
        <v>306</v>
      </c>
      <c r="T185" s="114" t="s">
        <v>307</v>
      </c>
      <c r="U185" s="114" t="s">
        <v>308</v>
      </c>
      <c r="V185" s="114" t="s">
        <v>309</v>
      </c>
      <c r="W185" s="115" t="s">
        <v>310</v>
      </c>
      <c r="X185" s="115" t="s">
        <v>311</v>
      </c>
      <c r="Y185" s="115" t="s">
        <v>312</v>
      </c>
      <c r="Z185" s="115" t="s">
        <v>313</v>
      </c>
      <c r="AA185" s="115" t="s">
        <v>314</v>
      </c>
      <c r="AB185" s="115" t="s">
        <v>315</v>
      </c>
      <c r="AC185" s="115" t="s">
        <v>316</v>
      </c>
      <c r="AD185" s="115" t="s">
        <v>317</v>
      </c>
      <c r="AE185" s="115" t="s">
        <v>358</v>
      </c>
      <c r="AF185" s="115" t="s">
        <v>319</v>
      </c>
      <c r="AG185" s="115" t="s">
        <v>320</v>
      </c>
      <c r="AH185" s="115" t="s">
        <v>321</v>
      </c>
      <c r="AI185" s="115" t="s">
        <v>322</v>
      </c>
      <c r="AJ185" s="115" t="s">
        <v>323</v>
      </c>
    </row>
    <row r="186" spans="1:36" ht="12.75">
      <c r="A186" s="113"/>
      <c r="B186" s="113"/>
      <c r="C186" s="114" t="s">
        <v>359</v>
      </c>
      <c r="D186" s="114" t="s">
        <v>298</v>
      </c>
      <c r="E186" s="114" t="s">
        <v>328</v>
      </c>
      <c r="F186" s="114" t="s">
        <v>329</v>
      </c>
      <c r="G186" s="114" t="s">
        <v>330</v>
      </c>
      <c r="H186" s="114" t="s">
        <v>331</v>
      </c>
      <c r="I186" s="114" t="s">
        <v>216</v>
      </c>
      <c r="J186" s="114" t="s">
        <v>332</v>
      </c>
      <c r="K186" s="114" t="s">
        <v>334</v>
      </c>
      <c r="L186" s="114" t="s">
        <v>335</v>
      </c>
      <c r="M186" s="114" t="s">
        <v>99</v>
      </c>
      <c r="N186" s="114" t="s">
        <v>360</v>
      </c>
      <c r="O186" s="114" t="s">
        <v>361</v>
      </c>
      <c r="P186" s="114" t="s">
        <v>361</v>
      </c>
      <c r="Q186" s="114" t="s">
        <v>362</v>
      </c>
      <c r="R186" s="114" t="s">
        <v>216</v>
      </c>
      <c r="S186" s="114" t="s">
        <v>336</v>
      </c>
      <c r="T186" s="114" t="s">
        <v>216</v>
      </c>
      <c r="U186" s="114" t="s">
        <v>216</v>
      </c>
      <c r="V186" s="114" t="s">
        <v>216</v>
      </c>
      <c r="W186" s="114" t="s">
        <v>330</v>
      </c>
      <c r="X186" s="114" t="s">
        <v>330</v>
      </c>
      <c r="Y186" s="114" t="s">
        <v>330</v>
      </c>
      <c r="Z186" s="114" t="s">
        <v>330</v>
      </c>
      <c r="AA186" s="114" t="s">
        <v>330</v>
      </c>
      <c r="AB186" s="114" t="s">
        <v>330</v>
      </c>
      <c r="AC186" s="114" t="s">
        <v>330</v>
      </c>
      <c r="AD186" s="114" t="s">
        <v>330</v>
      </c>
      <c r="AE186" s="114" t="s">
        <v>330</v>
      </c>
      <c r="AF186" s="114" t="s">
        <v>330</v>
      </c>
      <c r="AG186" s="114" t="s">
        <v>330</v>
      </c>
      <c r="AH186" s="114" t="s">
        <v>330</v>
      </c>
      <c r="AI186" s="114" t="s">
        <v>330</v>
      </c>
      <c r="AJ186" s="114" t="s">
        <v>330</v>
      </c>
    </row>
    <row r="187" spans="1:36" ht="12.75">
      <c r="A187" s="109" t="s">
        <v>337</v>
      </c>
      <c r="B187" s="109" t="s">
        <v>367</v>
      </c>
      <c r="C187" s="110" t="s">
        <v>366</v>
      </c>
      <c r="D187" s="109" t="s">
        <v>364</v>
      </c>
      <c r="E187" s="109" t="s">
        <v>339</v>
      </c>
      <c r="F187" s="109" t="s">
        <v>155</v>
      </c>
      <c r="G187" s="109" t="s">
        <v>156</v>
      </c>
      <c r="H187" s="109" t="s">
        <v>157</v>
      </c>
      <c r="I187" s="109" t="s">
        <v>156</v>
      </c>
      <c r="J187" s="109" t="s">
        <v>156</v>
      </c>
      <c r="K187" s="109" t="s">
        <v>158</v>
      </c>
      <c r="L187" s="109" t="s">
        <v>156</v>
      </c>
      <c r="M187" s="109" t="s">
        <v>100</v>
      </c>
      <c r="N187" s="109" t="s">
        <v>159</v>
      </c>
      <c r="O187" s="109" t="s">
        <v>159</v>
      </c>
      <c r="P187" s="109" t="s">
        <v>159</v>
      </c>
      <c r="Q187" s="109" t="s">
        <v>156</v>
      </c>
      <c r="R187" s="109" t="s">
        <v>156</v>
      </c>
      <c r="S187" s="111" t="s">
        <v>160</v>
      </c>
      <c r="T187" s="109" t="s">
        <v>160</v>
      </c>
      <c r="U187" s="109" t="s">
        <v>341</v>
      </c>
      <c r="V187" s="109" t="s">
        <v>156</v>
      </c>
      <c r="W187" s="109" t="s">
        <v>156</v>
      </c>
      <c r="X187" s="109" t="s">
        <v>156</v>
      </c>
      <c r="Y187" s="109" t="s">
        <v>156</v>
      </c>
      <c r="Z187" s="109" t="s">
        <v>156</v>
      </c>
      <c r="AA187" s="109" t="s">
        <v>156</v>
      </c>
      <c r="AB187" s="109" t="s">
        <v>156</v>
      </c>
      <c r="AC187" s="109" t="s">
        <v>156</v>
      </c>
      <c r="AD187" s="109" t="s">
        <v>156</v>
      </c>
      <c r="AE187" s="109" t="s">
        <v>156</v>
      </c>
      <c r="AF187" s="109" t="s">
        <v>156</v>
      </c>
      <c r="AG187" s="109" t="s">
        <v>156</v>
      </c>
      <c r="AH187" s="109" t="s">
        <v>156</v>
      </c>
      <c r="AI187" s="109" t="s">
        <v>156</v>
      </c>
      <c r="AJ187" s="109" t="s">
        <v>156</v>
      </c>
    </row>
    <row r="188" spans="1:36" ht="12.75">
      <c r="A188" s="194">
        <v>35877.458333333336</v>
      </c>
      <c r="B188" s="195">
        <v>35877.458333333336</v>
      </c>
      <c r="C188" s="195"/>
      <c r="D188" s="196">
        <v>8</v>
      </c>
      <c r="E188" s="197">
        <v>353</v>
      </c>
      <c r="F188" s="198"/>
      <c r="G188" s="196">
        <v>12.7</v>
      </c>
      <c r="H188" s="196">
        <v>5.8</v>
      </c>
      <c r="I188" s="199">
        <v>80</v>
      </c>
      <c r="J188" s="199">
        <v>-3</v>
      </c>
      <c r="K188" s="199">
        <v>120</v>
      </c>
      <c r="L188" s="199">
        <v>-0.01</v>
      </c>
      <c r="M188" s="199">
        <v>127</v>
      </c>
      <c r="N188" s="199">
        <v>0.46</v>
      </c>
      <c r="O188" s="199">
        <v>0.46</v>
      </c>
      <c r="P188" s="199">
        <v>-0.01</v>
      </c>
      <c r="Q188" s="199">
        <v>-0.05</v>
      </c>
      <c r="R188" s="199">
        <v>0.6</v>
      </c>
      <c r="S188" s="199">
        <v>0.017</v>
      </c>
      <c r="T188" s="199">
        <v>0.1</v>
      </c>
      <c r="U188" s="199">
        <v>78</v>
      </c>
      <c r="V188" s="199">
        <v>0.002</v>
      </c>
      <c r="W188" s="199">
        <v>-0.003</v>
      </c>
      <c r="X188" s="199">
        <v>35.7</v>
      </c>
      <c r="Y188" s="199">
        <v>-0.01</v>
      </c>
      <c r="Z188" s="199">
        <v>-0.005</v>
      </c>
      <c r="AA188" s="199">
        <v>-0.005</v>
      </c>
      <c r="AB188" s="199">
        <v>0.26</v>
      </c>
      <c r="AC188" s="199">
        <v>-0.04</v>
      </c>
      <c r="AD188" s="199">
        <v>9.3</v>
      </c>
      <c r="AE188" s="199">
        <v>0.021</v>
      </c>
      <c r="AF188" s="199">
        <v>-0.0002</v>
      </c>
      <c r="AG188" s="199">
        <v>-0.01</v>
      </c>
      <c r="AH188" s="199">
        <v>-0.001</v>
      </c>
      <c r="AI188" s="199">
        <v>-0.005</v>
      </c>
      <c r="AJ188" s="199">
        <v>0.03</v>
      </c>
    </row>
    <row r="189" spans="1:36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36" ht="12.75">
      <c r="A190" s="200" t="s">
        <v>372</v>
      </c>
      <c r="B190" s="200"/>
      <c r="C190" s="200"/>
      <c r="D190" s="200"/>
      <c r="E190" s="200"/>
      <c r="F190" s="200"/>
      <c r="G190" s="200"/>
      <c r="H190" s="200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36" ht="45">
      <c r="A191" s="200"/>
      <c r="B191" s="200"/>
      <c r="C191" s="201" t="s">
        <v>290</v>
      </c>
      <c r="D191" s="201" t="s">
        <v>377</v>
      </c>
      <c r="E191" s="201" t="s">
        <v>373</v>
      </c>
      <c r="F191" s="201" t="s">
        <v>374</v>
      </c>
      <c r="G191" s="201" t="s">
        <v>369</v>
      </c>
      <c r="H191" s="201" t="s">
        <v>375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36" ht="12.75">
      <c r="A192" s="202" t="s">
        <v>27</v>
      </c>
      <c r="B192" s="203" t="s">
        <v>36</v>
      </c>
      <c r="C192" s="200"/>
      <c r="D192" s="200"/>
      <c r="E192" s="200"/>
      <c r="F192" s="200"/>
      <c r="G192" s="204">
        <v>5.8</v>
      </c>
      <c r="H192" s="200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:36" ht="12.75">
      <c r="A193" s="202" t="s">
        <v>28</v>
      </c>
      <c r="B193" s="203" t="s">
        <v>37</v>
      </c>
      <c r="C193" s="200"/>
      <c r="D193" s="200"/>
      <c r="E193" s="200"/>
      <c r="F193" s="200"/>
      <c r="G193" s="205">
        <v>353</v>
      </c>
      <c r="H193" s="200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:36" ht="12.75">
      <c r="A194" s="202" t="s">
        <v>29</v>
      </c>
      <c r="B194" s="203" t="s">
        <v>38</v>
      </c>
      <c r="C194" s="200"/>
      <c r="D194" s="200"/>
      <c r="E194" s="200"/>
      <c r="F194" s="200"/>
      <c r="G194" s="204">
        <v>12.7</v>
      </c>
      <c r="H194" s="200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:36" ht="12.75">
      <c r="A195" s="202" t="s">
        <v>43</v>
      </c>
      <c r="B195" s="203" t="s">
        <v>44</v>
      </c>
      <c r="C195" s="200"/>
      <c r="D195" s="200"/>
      <c r="E195" s="200"/>
      <c r="F195" s="200"/>
      <c r="G195" s="206">
        <v>120</v>
      </c>
      <c r="H195" s="200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:36" ht="12.75">
      <c r="A196" s="202" t="s">
        <v>30</v>
      </c>
      <c r="B196" s="203" t="s">
        <v>39</v>
      </c>
      <c r="C196" s="200"/>
      <c r="D196" s="200"/>
      <c r="E196" s="200"/>
      <c r="F196" s="200"/>
      <c r="G196" s="204">
        <v>8</v>
      </c>
      <c r="H196" s="200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:36" ht="12.75">
      <c r="A197" s="202" t="s">
        <v>16</v>
      </c>
      <c r="B197" s="203" t="s">
        <v>38</v>
      </c>
      <c r="C197" s="200"/>
      <c r="D197" s="200"/>
      <c r="E197" s="200"/>
      <c r="F197" s="200"/>
      <c r="G197" s="200"/>
      <c r="H197" s="200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1:36" ht="12.75">
      <c r="A198" s="202" t="s">
        <v>31</v>
      </c>
      <c r="B198" s="203" t="s">
        <v>38</v>
      </c>
      <c r="C198" s="200"/>
      <c r="D198" s="200"/>
      <c r="E198" s="200"/>
      <c r="F198" s="200"/>
      <c r="G198" s="200"/>
      <c r="H198" s="200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</row>
    <row r="199" spans="1:36" ht="12.75">
      <c r="A199" s="202" t="s">
        <v>17</v>
      </c>
      <c r="B199" s="203" t="s">
        <v>38</v>
      </c>
      <c r="C199" s="200"/>
      <c r="D199" s="200"/>
      <c r="E199" s="200"/>
      <c r="F199" s="200"/>
      <c r="G199" s="200"/>
      <c r="H199" s="200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</row>
    <row r="200" spans="1:36" ht="12.75">
      <c r="A200" s="202" t="s">
        <v>32</v>
      </c>
      <c r="B200" s="203" t="s">
        <v>38</v>
      </c>
      <c r="C200" s="200"/>
      <c r="D200" s="200"/>
      <c r="E200" s="200"/>
      <c r="F200" s="200"/>
      <c r="G200" s="200"/>
      <c r="H200" s="200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</row>
    <row r="201" spans="1:36" ht="22.5">
      <c r="A201" s="202" t="s">
        <v>376</v>
      </c>
      <c r="B201" s="203" t="s">
        <v>40</v>
      </c>
      <c r="C201" s="200"/>
      <c r="D201" s="200"/>
      <c r="E201" s="200"/>
      <c r="F201" s="200"/>
      <c r="G201" s="200"/>
      <c r="H201" s="200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</row>
    <row r="202" spans="1:36" ht="12.75">
      <c r="A202" s="202" t="s">
        <v>33</v>
      </c>
      <c r="B202" s="203" t="s">
        <v>41</v>
      </c>
      <c r="C202" s="200"/>
      <c r="D202" s="200"/>
      <c r="E202" s="200"/>
      <c r="F202" s="200"/>
      <c r="G202" s="200"/>
      <c r="H202" s="200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</row>
    <row r="203" spans="1:36" ht="12.75">
      <c r="A203" s="202" t="s">
        <v>35</v>
      </c>
      <c r="B203" s="203" t="s">
        <v>42</v>
      </c>
      <c r="C203" s="200"/>
      <c r="D203" s="200"/>
      <c r="E203" s="200"/>
      <c r="F203" s="200"/>
      <c r="G203" s="200"/>
      <c r="H203" s="20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</row>
    <row r="204" spans="1:36" ht="12.75">
      <c r="A204" s="200"/>
      <c r="B204" s="200"/>
      <c r="C204" s="200"/>
      <c r="D204" s="200"/>
      <c r="E204" s="200"/>
      <c r="F204" s="200"/>
      <c r="G204" s="200"/>
      <c r="H204" s="200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</row>
    <row r="205" spans="1:36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</row>
    <row r="206" spans="1:36" ht="12.75">
      <c r="A206" s="11" t="s">
        <v>45</v>
      </c>
      <c r="B206" s="11" t="s">
        <v>16</v>
      </c>
      <c r="C206" s="11" t="s">
        <v>17</v>
      </c>
      <c r="D206" s="25"/>
      <c r="E206" s="25"/>
      <c r="F206" s="252" t="s">
        <v>45</v>
      </c>
      <c r="G206" s="250" t="s">
        <v>51</v>
      </c>
      <c r="H206" s="250"/>
      <c r="I206" s="200" t="s">
        <v>55</v>
      </c>
      <c r="J206" s="200"/>
      <c r="K206" s="200"/>
      <c r="L206" s="200" t="s">
        <v>56</v>
      </c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</row>
    <row r="207" spans="1:36" ht="12.75">
      <c r="A207" s="11"/>
      <c r="B207" s="11" t="s">
        <v>46</v>
      </c>
      <c r="C207" s="11" t="s">
        <v>47</v>
      </c>
      <c r="D207" s="25"/>
      <c r="E207" s="25"/>
      <c r="F207" s="252"/>
      <c r="G207" s="251" t="s">
        <v>380</v>
      </c>
      <c r="H207" s="251" t="s">
        <v>381</v>
      </c>
      <c r="I207" s="200" t="s">
        <v>57</v>
      </c>
      <c r="J207" s="200"/>
      <c r="K207" s="200"/>
      <c r="L207" s="207" t="s">
        <v>66</v>
      </c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</row>
    <row r="208" spans="1:36" ht="12.75">
      <c r="A208" s="249" t="s">
        <v>48</v>
      </c>
      <c r="B208" s="249"/>
      <c r="C208" s="249"/>
      <c r="D208" s="25"/>
      <c r="E208" s="25"/>
      <c r="F208" s="252"/>
      <c r="G208" s="251"/>
      <c r="H208" s="251"/>
      <c r="I208" s="200" t="s">
        <v>58</v>
      </c>
      <c r="J208" s="200"/>
      <c r="K208" s="200"/>
      <c r="L208" s="207" t="s">
        <v>62</v>
      </c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</row>
    <row r="209" spans="1:36" ht="22.5">
      <c r="A209" s="25">
        <v>1987</v>
      </c>
      <c r="B209" s="25">
        <v>0.09</v>
      </c>
      <c r="C209" s="25">
        <v>0.03</v>
      </c>
      <c r="D209" s="25"/>
      <c r="E209" s="25"/>
      <c r="F209" s="207" t="s">
        <v>52</v>
      </c>
      <c r="G209" s="208" t="s">
        <v>54</v>
      </c>
      <c r="H209" s="208" t="s">
        <v>53</v>
      </c>
      <c r="I209" s="200" t="s">
        <v>59</v>
      </c>
      <c r="J209" s="200"/>
      <c r="K209" s="200"/>
      <c r="L209" s="207" t="s">
        <v>382</v>
      </c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</row>
    <row r="210" spans="1:36" ht="12.75">
      <c r="A210" s="25">
        <v>1988</v>
      </c>
      <c r="B210" s="25">
        <v>0.12</v>
      </c>
      <c r="C210" s="25">
        <v>0.03</v>
      </c>
      <c r="D210" s="25"/>
      <c r="E210" s="25"/>
      <c r="F210" s="209">
        <v>1987</v>
      </c>
      <c r="G210" s="203">
        <v>17</v>
      </c>
      <c r="H210" s="203">
        <v>5.7</v>
      </c>
      <c r="I210" s="200" t="s">
        <v>60</v>
      </c>
      <c r="J210" s="200"/>
      <c r="K210" s="200"/>
      <c r="L210" s="207" t="s">
        <v>63</v>
      </c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</row>
    <row r="211" spans="1:36" ht="12.75">
      <c r="A211" s="25">
        <v>1989</v>
      </c>
      <c r="B211" s="25">
        <v>0.14</v>
      </c>
      <c r="C211" s="25">
        <v>0.02</v>
      </c>
      <c r="D211" s="25"/>
      <c r="E211" s="25"/>
      <c r="F211" s="209">
        <v>1988</v>
      </c>
      <c r="G211" s="203">
        <v>22</v>
      </c>
      <c r="H211" s="203">
        <v>9.6</v>
      </c>
      <c r="I211" s="200" t="s">
        <v>61</v>
      </c>
      <c r="J211" s="200"/>
      <c r="K211" s="200"/>
      <c r="L211" s="207" t="s">
        <v>64</v>
      </c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</row>
    <row r="212" spans="1:36" ht="12.75">
      <c r="A212" s="25">
        <v>1990</v>
      </c>
      <c r="B212" s="25">
        <v>0.15</v>
      </c>
      <c r="C212" s="25">
        <v>0.05</v>
      </c>
      <c r="D212" s="25"/>
      <c r="E212" s="25"/>
      <c r="F212" s="209">
        <v>1989</v>
      </c>
      <c r="G212" s="203">
        <v>12</v>
      </c>
      <c r="H212" s="203">
        <v>3.9</v>
      </c>
      <c r="I212" s="200" t="s">
        <v>35</v>
      </c>
      <c r="J212" s="200"/>
      <c r="K212" s="200"/>
      <c r="L212" s="207" t="s">
        <v>65</v>
      </c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</row>
    <row r="213" spans="1:36" ht="12.75">
      <c r="A213" s="25">
        <v>1991</v>
      </c>
      <c r="B213" s="25">
        <v>0.07</v>
      </c>
      <c r="C213" s="25">
        <v>0.1</v>
      </c>
      <c r="D213" s="25"/>
      <c r="E213" s="25"/>
      <c r="F213" s="209">
        <v>1990</v>
      </c>
      <c r="G213" s="203">
        <v>27</v>
      </c>
      <c r="H213" s="203">
        <v>10.3</v>
      </c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</row>
    <row r="214" spans="1:36" ht="12.75">
      <c r="A214" s="25">
        <v>1992</v>
      </c>
      <c r="B214" s="25">
        <v>0.03</v>
      </c>
      <c r="C214" s="25">
        <v>0.03</v>
      </c>
      <c r="D214" s="25"/>
      <c r="E214" s="25"/>
      <c r="F214" s="209">
        <v>1991</v>
      </c>
      <c r="G214" s="203">
        <v>44</v>
      </c>
      <c r="H214" s="203">
        <v>2.4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</row>
    <row r="215" spans="1:36" ht="12.75">
      <c r="A215" s="25">
        <v>1993</v>
      </c>
      <c r="B215" s="25">
        <v>0.04</v>
      </c>
      <c r="C215" s="25">
        <v>0.01</v>
      </c>
      <c r="D215" s="25"/>
      <c r="E215" s="25"/>
      <c r="F215" s="209">
        <v>1992</v>
      </c>
      <c r="G215" s="203">
        <v>27</v>
      </c>
      <c r="H215" s="203">
        <v>4.3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</row>
    <row r="216" spans="1:36" ht="12.75">
      <c r="A216" s="25">
        <v>1994</v>
      </c>
      <c r="B216" s="25">
        <v>0.21</v>
      </c>
      <c r="C216" s="25">
        <v>0.02</v>
      </c>
      <c r="D216" s="25"/>
      <c r="E216" s="25"/>
      <c r="F216" s="209">
        <v>1993</v>
      </c>
      <c r="G216" s="203">
        <v>18</v>
      </c>
      <c r="H216" s="203">
        <v>4.2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</row>
    <row r="217" spans="1:36" ht="12.75">
      <c r="A217" s="25">
        <v>1995</v>
      </c>
      <c r="B217" s="25">
        <v>0.08</v>
      </c>
      <c r="C217" s="25">
        <v>0.01</v>
      </c>
      <c r="D217" s="25"/>
      <c r="E217" s="25"/>
      <c r="F217" s="209">
        <v>1994</v>
      </c>
      <c r="G217" s="203">
        <v>12</v>
      </c>
      <c r="H217" s="203">
        <v>3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</row>
    <row r="218" spans="1:36" ht="12.75">
      <c r="A218" s="25">
        <v>1996</v>
      </c>
      <c r="B218" s="25">
        <v>0.08</v>
      </c>
      <c r="C218" s="25">
        <v>0.02</v>
      </c>
      <c r="D218" s="25"/>
      <c r="E218" s="25"/>
      <c r="F218" s="209">
        <v>1995</v>
      </c>
      <c r="G218" s="203">
        <v>9</v>
      </c>
      <c r="H218" s="203">
        <v>3.8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</row>
    <row r="219" spans="1:36" ht="12.75">
      <c r="A219" s="25">
        <v>1997</v>
      </c>
      <c r="B219" s="25">
        <v>0.06</v>
      </c>
      <c r="C219" s="25">
        <v>0.017</v>
      </c>
      <c r="D219" s="25"/>
      <c r="E219" s="25"/>
      <c r="F219" s="209">
        <v>1996</v>
      </c>
      <c r="G219" s="203">
        <v>34</v>
      </c>
      <c r="H219" s="203">
        <v>3.9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</row>
    <row r="220" spans="1:36" ht="12.75">
      <c r="A220" s="210" t="s">
        <v>379</v>
      </c>
      <c r="B220" s="189">
        <f>AVERAGE(B209:B219)</f>
        <v>0.09727272727272727</v>
      </c>
      <c r="C220" s="189">
        <f>AVERAGE(C209:C219)</f>
        <v>0.030636363636363642</v>
      </c>
      <c r="D220" s="25"/>
      <c r="E220" s="25"/>
      <c r="F220" s="209">
        <v>1997</v>
      </c>
      <c r="G220" s="203">
        <f>0.013*1000</f>
        <v>13</v>
      </c>
      <c r="H220" s="203">
        <v>3.4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</row>
    <row r="221" spans="1:36" ht="12.75">
      <c r="A221" s="25">
        <v>1998</v>
      </c>
      <c r="B221" s="25"/>
      <c r="C221" s="25"/>
      <c r="D221" s="25"/>
      <c r="E221" s="25"/>
      <c r="F221" s="211" t="s">
        <v>378</v>
      </c>
      <c r="G221" s="212">
        <f>AVERAGE(G210:G220)</f>
        <v>21.363636363636363</v>
      </c>
      <c r="H221" s="212">
        <f>AVERAGE(H210:H220)</f>
        <v>4.954545454545454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</row>
    <row r="222" spans="1:36" ht="12.75">
      <c r="A222" s="249" t="s">
        <v>49</v>
      </c>
      <c r="B222" s="249"/>
      <c r="C222" s="249"/>
      <c r="D222" s="25"/>
      <c r="E222" s="25"/>
      <c r="F222" s="209">
        <v>1998</v>
      </c>
      <c r="G222" s="203">
        <v>17</v>
      </c>
      <c r="H222" s="203">
        <v>4.2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</row>
    <row r="223" spans="1:36" ht="12.75">
      <c r="A223" s="25">
        <v>1987</v>
      </c>
      <c r="B223" s="25">
        <v>0.01</v>
      </c>
      <c r="C223" s="25">
        <v>0.09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</row>
    <row r="224" spans="1:36" ht="12.75">
      <c r="A224" s="25">
        <v>1988</v>
      </c>
      <c r="B224" s="25">
        <v>0.06</v>
      </c>
      <c r="C224" s="25">
        <v>0.01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</row>
    <row r="225" spans="1:36" ht="12.75">
      <c r="A225" s="25">
        <v>1989</v>
      </c>
      <c r="B225" s="25">
        <v>0.06</v>
      </c>
      <c r="C225" s="25">
        <v>0.01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</row>
    <row r="226" spans="1:36" ht="12.75">
      <c r="A226" s="25">
        <v>1990</v>
      </c>
      <c r="B226" s="25">
        <v>0.04</v>
      </c>
      <c r="C226" s="25">
        <v>0.01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</row>
    <row r="227" spans="1:36" ht="12.75">
      <c r="A227" s="25">
        <v>1991</v>
      </c>
      <c r="B227" s="25">
        <v>0.11</v>
      </c>
      <c r="C227" s="25">
        <v>0.03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</row>
    <row r="228" spans="1:36" ht="12.75">
      <c r="A228" s="25">
        <v>1992</v>
      </c>
      <c r="B228" s="25">
        <v>0.08</v>
      </c>
      <c r="C228" s="25">
        <v>0.01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</row>
    <row r="229" spans="1:36" ht="12.75">
      <c r="A229" s="25">
        <v>1993</v>
      </c>
      <c r="B229" s="25">
        <v>0.33</v>
      </c>
      <c r="C229" s="25">
        <v>0.01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</row>
    <row r="230" spans="1:36" ht="12.75">
      <c r="A230" s="25">
        <v>1994</v>
      </c>
      <c r="B230" s="25">
        <v>0.07</v>
      </c>
      <c r="C230" s="25">
        <v>0.02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</row>
    <row r="231" spans="1:36" ht="12.75">
      <c r="A231" s="25">
        <v>1995</v>
      </c>
      <c r="B231" s="25">
        <v>0.13</v>
      </c>
      <c r="C231" s="25">
        <v>0.01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</row>
    <row r="232" spans="1:36" ht="12.75">
      <c r="A232" s="25">
        <v>1996</v>
      </c>
      <c r="B232" s="25">
        <v>0.08</v>
      </c>
      <c r="C232" s="25">
        <v>0.05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</row>
    <row r="233" spans="1:36" ht="12.75">
      <c r="A233" s="25">
        <v>1997</v>
      </c>
      <c r="B233" s="189">
        <v>0.0857</v>
      </c>
      <c r="C233" s="189">
        <v>0.0416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</row>
    <row r="234" spans="1:36" ht="12.75">
      <c r="A234" s="210" t="s">
        <v>379</v>
      </c>
      <c r="B234" s="189">
        <f>AVERAGE(B223:B233)</f>
        <v>0.09597272727272727</v>
      </c>
      <c r="C234" s="189">
        <f>AVERAGE(C223:C233)</f>
        <v>0.026509090909090906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</row>
    <row r="235" spans="1:36" ht="12.75">
      <c r="A235" s="25">
        <v>1998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</row>
    <row r="236" spans="1:36" ht="12.75">
      <c r="A236" s="249" t="s">
        <v>50</v>
      </c>
      <c r="B236" s="249"/>
      <c r="C236" s="249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</row>
    <row r="237" spans="1:36" ht="12.75">
      <c r="A237" s="25">
        <v>1987</v>
      </c>
      <c r="B237" s="25">
        <v>0.84</v>
      </c>
      <c r="C237" s="25">
        <v>0.42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</row>
    <row r="238" spans="1:36" ht="12.75">
      <c r="A238" s="25">
        <v>1988</v>
      </c>
      <c r="B238" s="25">
        <v>0.53</v>
      </c>
      <c r="C238" s="25">
        <v>0.21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</row>
    <row r="239" spans="1:36" ht="12.75">
      <c r="A239" s="25">
        <v>1989</v>
      </c>
      <c r="B239" s="25">
        <v>1.06</v>
      </c>
      <c r="C239" s="25">
        <v>0.07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</row>
    <row r="240" spans="1:36" ht="12.75">
      <c r="A240" s="25">
        <v>1990</v>
      </c>
      <c r="B240" s="25">
        <v>0.64</v>
      </c>
      <c r="C240" s="25">
        <v>0.09</v>
      </c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</row>
    <row r="241" spans="1:36" ht="12.75">
      <c r="A241" s="25">
        <v>1991</v>
      </c>
      <c r="B241" s="25">
        <v>0.6</v>
      </c>
      <c r="C241" s="25">
        <v>0.08</v>
      </c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</row>
    <row r="242" spans="1:36" ht="12.75">
      <c r="A242" s="25">
        <v>1992</v>
      </c>
      <c r="B242" s="25">
        <v>0.31</v>
      </c>
      <c r="C242" s="25">
        <v>0.09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</row>
    <row r="243" spans="1:36" ht="12.75">
      <c r="A243" s="25">
        <v>1993</v>
      </c>
      <c r="B243" s="25">
        <v>0.4</v>
      </c>
      <c r="C243" s="25">
        <v>0.08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</row>
    <row r="244" spans="1:36" ht="12.75">
      <c r="A244" s="25">
        <v>1994</v>
      </c>
      <c r="B244" s="25">
        <v>0.31</v>
      </c>
      <c r="C244" s="25">
        <v>0.09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</row>
    <row r="245" spans="1:36" ht="12.75">
      <c r="A245" s="25">
        <v>1995</v>
      </c>
      <c r="B245" s="25">
        <v>0.56</v>
      </c>
      <c r="C245" s="25">
        <v>0.03</v>
      </c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</row>
    <row r="246" spans="1:36" ht="12.75">
      <c r="A246" s="25">
        <v>1996</v>
      </c>
      <c r="B246" s="25">
        <v>0.39</v>
      </c>
      <c r="C246" s="25">
        <v>0.05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</row>
    <row r="247" spans="1:36" ht="12.75">
      <c r="A247" s="25">
        <v>1997</v>
      </c>
      <c r="B247" s="189">
        <v>0.2726</v>
      </c>
      <c r="C247" s="189">
        <v>0.0779</v>
      </c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</row>
    <row r="248" spans="1:36" ht="12.75">
      <c r="A248" s="210" t="s">
        <v>379</v>
      </c>
      <c r="B248" s="25">
        <v>0.564</v>
      </c>
      <c r="C248" s="25">
        <v>0.121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</row>
    <row r="249" spans="1:36" ht="12.75">
      <c r="A249" s="25">
        <v>1998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</row>
    <row r="250" spans="1:36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</row>
    <row r="251" spans="1:36" ht="12.75">
      <c r="A251" s="96" t="s">
        <v>290</v>
      </c>
      <c r="B251" s="96"/>
      <c r="C251" s="100"/>
      <c r="D251" s="98"/>
      <c r="E251" s="100" t="s">
        <v>294</v>
      </c>
      <c r="F251" s="96"/>
      <c r="G251" s="97"/>
      <c r="H251" s="97"/>
      <c r="I251" s="130"/>
      <c r="J251" s="130"/>
      <c r="K251" s="131"/>
      <c r="L251" s="130"/>
      <c r="M251" s="96"/>
      <c r="N251" s="130"/>
      <c r="O251" s="130"/>
      <c r="P251" s="130"/>
      <c r="Q251" s="130"/>
      <c r="R251" s="130"/>
      <c r="S251" s="96"/>
      <c r="T251" s="96"/>
      <c r="U251" s="99" t="s">
        <v>154</v>
      </c>
      <c r="V251" s="99"/>
      <c r="W251" s="130"/>
      <c r="X251" s="137"/>
      <c r="Y251" s="137"/>
      <c r="Z251" s="99" t="s">
        <v>295</v>
      </c>
      <c r="AA251" s="99" t="s">
        <v>295</v>
      </c>
      <c r="AB251" s="137"/>
      <c r="AC251" s="137"/>
      <c r="AD251" s="137"/>
      <c r="AE251" s="137"/>
      <c r="AF251" s="130"/>
      <c r="AG251" s="130"/>
      <c r="AH251" s="130"/>
      <c r="AI251" s="130"/>
      <c r="AJ251" s="130"/>
    </row>
    <row r="252" spans="1:36" ht="12.75">
      <c r="A252" s="96"/>
      <c r="B252" s="96"/>
      <c r="C252" s="100" t="s">
        <v>356</v>
      </c>
      <c r="D252" s="213"/>
      <c r="E252" s="100" t="s">
        <v>299</v>
      </c>
      <c r="F252" s="96"/>
      <c r="G252" s="101" t="s">
        <v>300</v>
      </c>
      <c r="H252" s="97"/>
      <c r="I252" s="99" t="s">
        <v>301</v>
      </c>
      <c r="J252" s="99" t="s">
        <v>302</v>
      </c>
      <c r="K252" s="99" t="s">
        <v>303</v>
      </c>
      <c r="L252" s="99" t="s">
        <v>304</v>
      </c>
      <c r="M252" s="99"/>
      <c r="N252" s="99"/>
      <c r="O252" s="99" t="s">
        <v>357</v>
      </c>
      <c r="P252" s="99"/>
      <c r="Q252" s="99" t="s">
        <v>305</v>
      </c>
      <c r="R252" s="99" t="s">
        <v>305</v>
      </c>
      <c r="S252" s="99" t="s">
        <v>306</v>
      </c>
      <c r="T252" s="99" t="s">
        <v>307</v>
      </c>
      <c r="U252" s="99" t="s">
        <v>308</v>
      </c>
      <c r="V252" s="99" t="s">
        <v>309</v>
      </c>
      <c r="W252" s="132" t="s">
        <v>310</v>
      </c>
      <c r="X252" s="102" t="s">
        <v>311</v>
      </c>
      <c r="Y252" s="102" t="s">
        <v>312</v>
      </c>
      <c r="Z252" s="102" t="s">
        <v>313</v>
      </c>
      <c r="AA252" s="102" t="s">
        <v>314</v>
      </c>
      <c r="AB252" s="102" t="s">
        <v>315</v>
      </c>
      <c r="AC252" s="102" t="s">
        <v>316</v>
      </c>
      <c r="AD252" s="102" t="s">
        <v>317</v>
      </c>
      <c r="AE252" s="102" t="s">
        <v>358</v>
      </c>
      <c r="AF252" s="102" t="s">
        <v>319</v>
      </c>
      <c r="AG252" s="102" t="s">
        <v>320</v>
      </c>
      <c r="AH252" s="102" t="s">
        <v>321</v>
      </c>
      <c r="AI252" s="102" t="s">
        <v>322</v>
      </c>
      <c r="AJ252" s="102" t="s">
        <v>323</v>
      </c>
    </row>
    <row r="253" spans="1:36" ht="12.75">
      <c r="A253" s="96"/>
      <c r="B253" s="96"/>
      <c r="C253" s="100" t="s">
        <v>359</v>
      </c>
      <c r="D253" s="100" t="s">
        <v>298</v>
      </c>
      <c r="E253" s="100" t="s">
        <v>328</v>
      </c>
      <c r="F253" s="99" t="s">
        <v>329</v>
      </c>
      <c r="G253" s="101" t="s">
        <v>330</v>
      </c>
      <c r="H253" s="101" t="s">
        <v>331</v>
      </c>
      <c r="I253" s="99" t="s">
        <v>216</v>
      </c>
      <c r="J253" s="99" t="s">
        <v>332</v>
      </c>
      <c r="K253" s="99" t="s">
        <v>334</v>
      </c>
      <c r="L253" s="131" t="s">
        <v>335</v>
      </c>
      <c r="M253" s="99" t="s">
        <v>99</v>
      </c>
      <c r="N253" s="99" t="s">
        <v>360</v>
      </c>
      <c r="O253" s="99" t="s">
        <v>361</v>
      </c>
      <c r="P253" s="99" t="s">
        <v>361</v>
      </c>
      <c r="Q253" s="99" t="s">
        <v>362</v>
      </c>
      <c r="R253" s="99" t="s">
        <v>216</v>
      </c>
      <c r="S253" s="99" t="s">
        <v>336</v>
      </c>
      <c r="T253" s="99" t="s">
        <v>216</v>
      </c>
      <c r="U253" s="131" t="s">
        <v>216</v>
      </c>
      <c r="V253" s="131" t="s">
        <v>216</v>
      </c>
      <c r="W253" s="131" t="s">
        <v>330</v>
      </c>
      <c r="X253" s="131" t="s">
        <v>330</v>
      </c>
      <c r="Y253" s="131" t="s">
        <v>330</v>
      </c>
      <c r="Z253" s="131" t="s">
        <v>330</v>
      </c>
      <c r="AA253" s="131" t="s">
        <v>330</v>
      </c>
      <c r="AB253" s="131" t="s">
        <v>330</v>
      </c>
      <c r="AC253" s="131" t="s">
        <v>330</v>
      </c>
      <c r="AD253" s="131" t="s">
        <v>330</v>
      </c>
      <c r="AE253" s="131" t="s">
        <v>330</v>
      </c>
      <c r="AF253" s="131" t="s">
        <v>330</v>
      </c>
      <c r="AG253" s="131" t="s">
        <v>330</v>
      </c>
      <c r="AH253" s="131" t="s">
        <v>330</v>
      </c>
      <c r="AI253" s="131" t="s">
        <v>330</v>
      </c>
      <c r="AJ253" s="131" t="s">
        <v>330</v>
      </c>
    </row>
    <row r="254" spans="1:36" ht="12.75">
      <c r="A254" s="103" t="s">
        <v>337</v>
      </c>
      <c r="B254" s="103" t="s">
        <v>367</v>
      </c>
      <c r="C254" s="105" t="s">
        <v>366</v>
      </c>
      <c r="D254" s="105" t="s">
        <v>364</v>
      </c>
      <c r="E254" s="105" t="s">
        <v>339</v>
      </c>
      <c r="F254" s="103" t="s">
        <v>155</v>
      </c>
      <c r="G254" s="104" t="s">
        <v>156</v>
      </c>
      <c r="H254" s="104" t="s">
        <v>157</v>
      </c>
      <c r="I254" s="103" t="s">
        <v>156</v>
      </c>
      <c r="J254" s="103" t="s">
        <v>156</v>
      </c>
      <c r="K254" s="103" t="s">
        <v>158</v>
      </c>
      <c r="L254" s="103" t="s">
        <v>156</v>
      </c>
      <c r="M254" s="103" t="s">
        <v>100</v>
      </c>
      <c r="N254" s="103" t="s">
        <v>159</v>
      </c>
      <c r="O254" s="103" t="s">
        <v>159</v>
      </c>
      <c r="P254" s="103" t="s">
        <v>159</v>
      </c>
      <c r="Q254" s="103" t="s">
        <v>156</v>
      </c>
      <c r="R254" s="103" t="s">
        <v>156</v>
      </c>
      <c r="S254" s="106" t="s">
        <v>160</v>
      </c>
      <c r="T254" s="103" t="s">
        <v>160</v>
      </c>
      <c r="U254" s="103" t="s">
        <v>341</v>
      </c>
      <c r="V254" s="103" t="s">
        <v>156</v>
      </c>
      <c r="W254" s="103" t="s">
        <v>156</v>
      </c>
      <c r="X254" s="103" t="s">
        <v>156</v>
      </c>
      <c r="Y254" s="103" t="s">
        <v>156</v>
      </c>
      <c r="Z254" s="103" t="s">
        <v>156</v>
      </c>
      <c r="AA254" s="103" t="s">
        <v>156</v>
      </c>
      <c r="AB254" s="103" t="s">
        <v>156</v>
      </c>
      <c r="AC254" s="103" t="s">
        <v>156</v>
      </c>
      <c r="AD254" s="103" t="s">
        <v>156</v>
      </c>
      <c r="AE254" s="103" t="s">
        <v>156</v>
      </c>
      <c r="AF254" s="103" t="s">
        <v>156</v>
      </c>
      <c r="AG254" s="103" t="s">
        <v>156</v>
      </c>
      <c r="AH254" s="103" t="s">
        <v>156</v>
      </c>
      <c r="AI254" s="103" t="s">
        <v>156</v>
      </c>
      <c r="AJ254" s="103" t="s">
        <v>156</v>
      </c>
    </row>
    <row r="255" spans="1:36" ht="12.75">
      <c r="A255" s="133">
        <v>35809.416666666664</v>
      </c>
      <c r="B255" s="134">
        <v>35809.416666666664</v>
      </c>
      <c r="C255" s="136">
        <v>66</v>
      </c>
      <c r="D255" s="136">
        <v>8.5</v>
      </c>
      <c r="E255" s="136">
        <v>297</v>
      </c>
      <c r="F255" s="134"/>
      <c r="G255" s="135">
        <v>12.5</v>
      </c>
      <c r="H255" s="135">
        <v>2.8</v>
      </c>
      <c r="I255" s="137"/>
      <c r="J255" s="138">
        <v>6</v>
      </c>
      <c r="K255" s="138">
        <v>1</v>
      </c>
      <c r="L255" s="137"/>
      <c r="M255" s="138">
        <v>124</v>
      </c>
      <c r="N255" s="178">
        <v>0.04</v>
      </c>
      <c r="O255" s="138">
        <v>0.05</v>
      </c>
      <c r="P255" s="138">
        <v>0.01</v>
      </c>
      <c r="Q255" s="138">
        <v>0.05</v>
      </c>
      <c r="R255" s="138"/>
      <c r="S255" s="138">
        <v>0.005</v>
      </c>
      <c r="T255" s="179">
        <v>0.01</v>
      </c>
      <c r="U255" s="138">
        <v>8</v>
      </c>
      <c r="V255" s="138"/>
      <c r="W255" s="184">
        <v>0.003</v>
      </c>
      <c r="X255" s="135">
        <v>35.2</v>
      </c>
      <c r="Y255" s="184">
        <v>0.01</v>
      </c>
      <c r="Z255" s="138"/>
      <c r="AA255" s="138"/>
      <c r="AB255" s="138"/>
      <c r="AC255" s="138">
        <v>-0.04</v>
      </c>
      <c r="AD255" s="135">
        <v>8.8</v>
      </c>
      <c r="AE255" s="138"/>
      <c r="AF255" s="138">
        <v>-0.0002</v>
      </c>
      <c r="AG255" s="137"/>
      <c r="AH255" s="138">
        <v>-0.001</v>
      </c>
      <c r="AI255" s="137"/>
      <c r="AJ255" s="137"/>
    </row>
    <row r="256" spans="1:36" ht="12.75">
      <c r="A256" s="133">
        <v>35837.381944444445</v>
      </c>
      <c r="B256" s="134">
        <v>35837.381944444445</v>
      </c>
      <c r="C256" s="136">
        <v>61</v>
      </c>
      <c r="D256" s="136">
        <v>8.1</v>
      </c>
      <c r="E256" s="136">
        <v>337</v>
      </c>
      <c r="F256" s="134"/>
      <c r="G256" s="135">
        <v>12.2</v>
      </c>
      <c r="H256" s="135">
        <v>3.2</v>
      </c>
      <c r="I256" s="137"/>
      <c r="J256" s="138">
        <v>3</v>
      </c>
      <c r="K256" s="138">
        <v>1</v>
      </c>
      <c r="L256" s="137"/>
      <c r="M256" s="184">
        <v>130</v>
      </c>
      <c r="N256" s="182">
        <v>0.17</v>
      </c>
      <c r="O256" s="138">
        <v>0.17</v>
      </c>
      <c r="P256" s="138">
        <v>0.01</v>
      </c>
      <c r="Q256" s="138">
        <v>0.09</v>
      </c>
      <c r="R256" s="138"/>
      <c r="S256" s="138">
        <v>0.005</v>
      </c>
      <c r="T256" s="179">
        <v>0.01</v>
      </c>
      <c r="U256" s="138">
        <v>5</v>
      </c>
      <c r="V256" s="138"/>
      <c r="W256" s="138">
        <v>0.003</v>
      </c>
      <c r="X256" s="180">
        <v>37.4</v>
      </c>
      <c r="Y256" s="138">
        <v>-0.01</v>
      </c>
      <c r="Z256" s="138"/>
      <c r="AA256" s="138"/>
      <c r="AB256" s="138"/>
      <c r="AC256" s="138">
        <v>-0.04</v>
      </c>
      <c r="AD256" s="135">
        <v>8.9</v>
      </c>
      <c r="AE256" s="138"/>
      <c r="AF256" s="138">
        <v>-0.0002</v>
      </c>
      <c r="AG256" s="137"/>
      <c r="AH256" s="138">
        <v>-0.001</v>
      </c>
      <c r="AI256" s="137"/>
      <c r="AJ256" s="137"/>
    </row>
    <row r="257" spans="1:36" ht="12.75">
      <c r="A257" s="133">
        <v>35877.444444444445</v>
      </c>
      <c r="B257" s="134">
        <v>35877.444444444445</v>
      </c>
      <c r="C257" s="136">
        <v>101</v>
      </c>
      <c r="D257" s="136">
        <v>8.2</v>
      </c>
      <c r="E257" s="136">
        <v>315</v>
      </c>
      <c r="F257" s="134"/>
      <c r="G257" s="135">
        <v>12.2</v>
      </c>
      <c r="H257" s="135">
        <v>7</v>
      </c>
      <c r="I257" s="184">
        <v>93</v>
      </c>
      <c r="J257" s="138">
        <v>3</v>
      </c>
      <c r="K257" s="138">
        <v>8</v>
      </c>
      <c r="L257" s="138">
        <v>-0.01</v>
      </c>
      <c r="M257" s="138">
        <v>120</v>
      </c>
      <c r="N257" s="178">
        <v>0.1</v>
      </c>
      <c r="O257" s="138">
        <v>0.1</v>
      </c>
      <c r="P257" s="138">
        <v>0.01</v>
      </c>
      <c r="Q257" s="138">
        <v>0.05</v>
      </c>
      <c r="R257" s="138">
        <v>0.3</v>
      </c>
      <c r="S257" s="138">
        <v>0.005</v>
      </c>
      <c r="T257" s="179">
        <v>0.01</v>
      </c>
      <c r="U257" s="138">
        <v>5</v>
      </c>
      <c r="V257" s="138">
        <v>-0.001</v>
      </c>
      <c r="W257" s="138">
        <v>0.003</v>
      </c>
      <c r="X257" s="135">
        <v>33.2</v>
      </c>
      <c r="Y257" s="138">
        <v>-0.01</v>
      </c>
      <c r="Z257" s="138">
        <v>-0.005</v>
      </c>
      <c r="AA257" s="138">
        <v>-0.005</v>
      </c>
      <c r="AB257" s="138">
        <v>0.01</v>
      </c>
      <c r="AC257" s="138">
        <v>-0.04</v>
      </c>
      <c r="AD257" s="135">
        <v>8.9</v>
      </c>
      <c r="AE257" s="184">
        <v>0.071</v>
      </c>
      <c r="AF257" s="138">
        <v>-0.0002</v>
      </c>
      <c r="AG257" s="138">
        <v>-0.01</v>
      </c>
      <c r="AH257" s="138">
        <v>-0.001</v>
      </c>
      <c r="AI257" s="138">
        <v>-0.005</v>
      </c>
      <c r="AJ257" s="138">
        <v>0.01</v>
      </c>
    </row>
    <row r="258" spans="1:36" ht="12.75">
      <c r="A258" s="133">
        <v>35900.364583333336</v>
      </c>
      <c r="B258" s="134">
        <v>35900.364583333336</v>
      </c>
      <c r="C258" s="136">
        <v>224</v>
      </c>
      <c r="D258" s="136">
        <v>7.9</v>
      </c>
      <c r="E258" s="136">
        <v>313</v>
      </c>
      <c r="F258" s="134"/>
      <c r="G258" s="135">
        <v>10.6</v>
      </c>
      <c r="H258" s="135">
        <v>8.6</v>
      </c>
      <c r="I258" s="137"/>
      <c r="J258" s="138">
        <v>3</v>
      </c>
      <c r="K258" s="138">
        <v>1</v>
      </c>
      <c r="L258" s="138"/>
      <c r="M258" s="138">
        <v>121</v>
      </c>
      <c r="N258" s="178">
        <v>0.09</v>
      </c>
      <c r="O258" s="138">
        <v>0.09</v>
      </c>
      <c r="P258" s="138">
        <v>0.01</v>
      </c>
      <c r="Q258" s="138">
        <v>0.05</v>
      </c>
      <c r="R258" s="138"/>
      <c r="S258" s="138">
        <v>0.005</v>
      </c>
      <c r="T258" s="179">
        <v>0.01</v>
      </c>
      <c r="U258" s="138">
        <v>5</v>
      </c>
      <c r="V258" s="138"/>
      <c r="W258" s="138">
        <v>0.003</v>
      </c>
      <c r="X258" s="135">
        <v>34.6</v>
      </c>
      <c r="Y258" s="138">
        <v>-0.01</v>
      </c>
      <c r="Z258" s="137"/>
      <c r="AA258" s="137"/>
      <c r="AB258" s="137"/>
      <c r="AC258" s="138">
        <v>-0.04</v>
      </c>
      <c r="AD258" s="135">
        <v>8.4</v>
      </c>
      <c r="AE258" s="137"/>
      <c r="AF258" s="138">
        <v>-0.0002</v>
      </c>
      <c r="AG258" s="137"/>
      <c r="AH258" s="138">
        <v>-0.001</v>
      </c>
      <c r="AI258" s="137"/>
      <c r="AJ258" s="137"/>
    </row>
    <row r="259" spans="1:36" ht="12.75">
      <c r="A259" s="133">
        <v>35929.427083333336</v>
      </c>
      <c r="B259" s="134">
        <v>35929.427083333336</v>
      </c>
      <c r="C259" s="136">
        <v>1170</v>
      </c>
      <c r="D259" s="136">
        <v>7.9</v>
      </c>
      <c r="E259" s="136">
        <v>230</v>
      </c>
      <c r="F259" s="134"/>
      <c r="G259" s="135">
        <v>10.9</v>
      </c>
      <c r="H259" s="135">
        <v>13</v>
      </c>
      <c r="I259" s="138">
        <v>61</v>
      </c>
      <c r="J259" s="138">
        <v>3</v>
      </c>
      <c r="K259" s="138">
        <v>12</v>
      </c>
      <c r="L259" s="138">
        <v>-0.01</v>
      </c>
      <c r="M259" s="138">
        <v>78</v>
      </c>
      <c r="N259" s="178">
        <v>0.1</v>
      </c>
      <c r="O259" s="138">
        <v>0.1</v>
      </c>
      <c r="P259" s="138">
        <v>0.01</v>
      </c>
      <c r="Q259" s="138">
        <v>0.14</v>
      </c>
      <c r="R259" s="184">
        <v>0.5</v>
      </c>
      <c r="S259" s="138">
        <v>0.006</v>
      </c>
      <c r="T259" s="179">
        <v>0.05</v>
      </c>
      <c r="U259" s="138">
        <v>14</v>
      </c>
      <c r="V259" s="184">
        <v>0.002</v>
      </c>
      <c r="W259" s="138">
        <v>0.003</v>
      </c>
      <c r="X259" s="135">
        <v>22.3</v>
      </c>
      <c r="Y259" s="138">
        <v>-0.01</v>
      </c>
      <c r="Z259" s="138">
        <v>-0.005</v>
      </c>
      <c r="AA259" s="138">
        <v>-0.005</v>
      </c>
      <c r="AB259" s="184">
        <v>0.28</v>
      </c>
      <c r="AC259" s="138">
        <v>-0.04</v>
      </c>
      <c r="AD259" s="135">
        <v>5.4</v>
      </c>
      <c r="AE259" s="138">
        <v>0.048</v>
      </c>
      <c r="AF259" s="138">
        <v>-0.0002</v>
      </c>
      <c r="AG259" s="138">
        <v>-0.01</v>
      </c>
      <c r="AH259" s="138">
        <v>-0.001</v>
      </c>
      <c r="AI259" s="138">
        <v>-0.005</v>
      </c>
      <c r="AJ259" s="184">
        <v>0.04</v>
      </c>
    </row>
    <row r="260" spans="1:36" ht="12.75">
      <c r="A260" s="133">
        <v>35956.35763888889</v>
      </c>
      <c r="B260" s="134">
        <v>35956.35763888889</v>
      </c>
      <c r="C260" s="136">
        <v>730</v>
      </c>
      <c r="D260" s="136">
        <v>7.5</v>
      </c>
      <c r="E260" s="136">
        <v>184</v>
      </c>
      <c r="F260" s="134"/>
      <c r="G260" s="135">
        <v>9.7</v>
      </c>
      <c r="H260" s="135">
        <v>15.1</v>
      </c>
      <c r="I260" s="138"/>
      <c r="J260" s="138">
        <v>3</v>
      </c>
      <c r="K260" s="138">
        <v>2</v>
      </c>
      <c r="L260" s="138"/>
      <c r="M260" s="138">
        <v>74</v>
      </c>
      <c r="N260" s="178">
        <v>0.09</v>
      </c>
      <c r="O260" s="138">
        <v>0.09</v>
      </c>
      <c r="P260" s="138">
        <v>0.01</v>
      </c>
      <c r="Q260" s="184">
        <v>0.24</v>
      </c>
      <c r="R260" s="138"/>
      <c r="S260" s="138">
        <v>0.04</v>
      </c>
      <c r="T260" s="179">
        <v>0.04</v>
      </c>
      <c r="U260" s="138">
        <v>5</v>
      </c>
      <c r="V260" s="138"/>
      <c r="W260" s="138">
        <v>0.003</v>
      </c>
      <c r="X260" s="135">
        <v>21.3</v>
      </c>
      <c r="Y260" s="138">
        <v>-0.01</v>
      </c>
      <c r="Z260" s="138"/>
      <c r="AA260" s="138"/>
      <c r="AB260" s="138"/>
      <c r="AC260" s="138">
        <v>-0.04</v>
      </c>
      <c r="AD260" s="135">
        <v>5.1</v>
      </c>
      <c r="AE260" s="138"/>
      <c r="AF260" s="138">
        <v>-0.0002</v>
      </c>
      <c r="AG260" s="138"/>
      <c r="AH260" s="138">
        <v>-0.001</v>
      </c>
      <c r="AI260" s="138"/>
      <c r="AJ260" s="138"/>
    </row>
    <row r="261" spans="1:36" ht="12.75" hidden="1">
      <c r="A261" s="133">
        <v>35985.354166666664</v>
      </c>
      <c r="B261" s="134">
        <v>35985.354166666664</v>
      </c>
      <c r="C261" s="136">
        <v>300</v>
      </c>
      <c r="D261" s="136">
        <v>6.7</v>
      </c>
      <c r="E261" s="136">
        <v>194</v>
      </c>
      <c r="F261" s="168"/>
      <c r="G261" s="135">
        <v>11.7</v>
      </c>
      <c r="H261" s="135">
        <v>19.5</v>
      </c>
      <c r="I261" s="138">
        <v>59</v>
      </c>
      <c r="J261" s="138">
        <v>3</v>
      </c>
      <c r="K261" s="138">
        <v>1</v>
      </c>
      <c r="L261" s="138">
        <v>-0.01</v>
      </c>
      <c r="M261" s="138">
        <v>84</v>
      </c>
      <c r="N261" s="178">
        <v>0.11</v>
      </c>
      <c r="O261" s="138">
        <v>0.12</v>
      </c>
      <c r="P261" s="138">
        <v>0.01</v>
      </c>
      <c r="Q261" s="138">
        <v>0.05</v>
      </c>
      <c r="R261" s="138">
        <v>0.2</v>
      </c>
      <c r="S261" s="138">
        <v>0.015</v>
      </c>
      <c r="T261" s="179">
        <v>0.02</v>
      </c>
      <c r="U261" s="138">
        <v>14</v>
      </c>
      <c r="V261" s="138">
        <v>-0.001</v>
      </c>
      <c r="W261" s="138">
        <v>0.003</v>
      </c>
      <c r="X261" s="135">
        <v>24</v>
      </c>
      <c r="Y261" s="138">
        <v>-0.01</v>
      </c>
      <c r="Z261" s="138"/>
      <c r="AA261" s="138"/>
      <c r="AB261" s="138">
        <v>0.08</v>
      </c>
      <c r="AC261" s="138">
        <v>-0.04</v>
      </c>
      <c r="AD261" s="135">
        <v>5.9</v>
      </c>
      <c r="AE261" s="138">
        <v>0.024</v>
      </c>
      <c r="AF261" s="138">
        <v>-0.0002</v>
      </c>
      <c r="AG261" s="138">
        <v>-0.01</v>
      </c>
      <c r="AH261" s="138">
        <v>-0.001</v>
      </c>
      <c r="AI261" s="138">
        <v>-0.005</v>
      </c>
      <c r="AJ261" s="138">
        <v>0.02</v>
      </c>
    </row>
    <row r="262" spans="1:36" ht="12.75" hidden="1">
      <c r="A262" s="133">
        <v>35998</v>
      </c>
      <c r="B262" s="134">
        <v>35998.333333333336</v>
      </c>
      <c r="C262" s="136">
        <v>175</v>
      </c>
      <c r="D262" s="136">
        <v>7.5</v>
      </c>
      <c r="E262" s="136">
        <v>201</v>
      </c>
      <c r="F262" s="166"/>
      <c r="G262" s="135">
        <v>8</v>
      </c>
      <c r="H262" s="135">
        <v>18.7</v>
      </c>
      <c r="I262" s="166"/>
      <c r="J262" s="166"/>
      <c r="K262" s="166"/>
      <c r="L262" s="166"/>
      <c r="M262" s="166"/>
      <c r="N262" s="178">
        <v>0.1</v>
      </c>
      <c r="O262" s="138">
        <v>0.1</v>
      </c>
      <c r="P262" s="138">
        <v>0.01</v>
      </c>
      <c r="Q262" s="138">
        <v>0.07</v>
      </c>
      <c r="R262" s="138"/>
      <c r="S262" s="138">
        <v>0.008</v>
      </c>
      <c r="T262" s="179">
        <v>0.01</v>
      </c>
      <c r="U262" s="138">
        <v>5</v>
      </c>
      <c r="V262" s="138"/>
      <c r="W262" s="138"/>
      <c r="X262" s="135"/>
      <c r="Y262" s="138"/>
      <c r="Z262" s="138">
        <v>-0.005</v>
      </c>
      <c r="AA262" s="138">
        <v>-0.005</v>
      </c>
      <c r="AB262" s="138"/>
      <c r="AC262" s="138"/>
      <c r="AD262" s="135"/>
      <c r="AE262" s="138"/>
      <c r="AF262" s="138"/>
      <c r="AG262" s="138"/>
      <c r="AH262" s="138"/>
      <c r="AI262" s="138"/>
      <c r="AJ262" s="138"/>
    </row>
    <row r="263" spans="1:36" ht="12.75">
      <c r="A263" s="133" t="s">
        <v>5</v>
      </c>
      <c r="B263" s="134"/>
      <c r="C263" s="136"/>
      <c r="D263" s="136">
        <f>AVERAGE(D261:D262)</f>
        <v>7.1</v>
      </c>
      <c r="E263" s="136">
        <f aca="true" t="shared" si="22" ref="E263:AJ263">AVERAGE(E261:E262)</f>
        <v>197.5</v>
      </c>
      <c r="F263" s="136"/>
      <c r="G263" s="136">
        <f t="shared" si="22"/>
        <v>9.85</v>
      </c>
      <c r="H263" s="136">
        <f t="shared" si="22"/>
        <v>19.1</v>
      </c>
      <c r="I263" s="136">
        <f t="shared" si="22"/>
        <v>59</v>
      </c>
      <c r="J263" s="136">
        <f t="shared" si="22"/>
        <v>3</v>
      </c>
      <c r="K263" s="136">
        <f t="shared" si="22"/>
        <v>1</v>
      </c>
      <c r="L263" s="136">
        <f t="shared" si="22"/>
        <v>-0.01</v>
      </c>
      <c r="M263" s="136">
        <f t="shared" si="22"/>
        <v>84</v>
      </c>
      <c r="N263" s="136">
        <f t="shared" si="22"/>
        <v>0.10500000000000001</v>
      </c>
      <c r="O263" s="136">
        <f t="shared" si="22"/>
        <v>0.11</v>
      </c>
      <c r="P263" s="136">
        <f t="shared" si="22"/>
        <v>0.01</v>
      </c>
      <c r="Q263" s="136">
        <f t="shared" si="22"/>
        <v>0.060000000000000005</v>
      </c>
      <c r="R263" s="136">
        <f t="shared" si="22"/>
        <v>0.2</v>
      </c>
      <c r="S263" s="136">
        <f t="shared" si="22"/>
        <v>0.0115</v>
      </c>
      <c r="T263" s="136">
        <f t="shared" si="22"/>
        <v>0.015</v>
      </c>
      <c r="U263" s="136">
        <f t="shared" si="22"/>
        <v>9.5</v>
      </c>
      <c r="V263" s="136">
        <f t="shared" si="22"/>
        <v>-0.001</v>
      </c>
      <c r="W263" s="136">
        <f t="shared" si="22"/>
        <v>0.003</v>
      </c>
      <c r="X263" s="136">
        <f t="shared" si="22"/>
        <v>24</v>
      </c>
      <c r="Y263" s="136">
        <f t="shared" si="22"/>
        <v>-0.01</v>
      </c>
      <c r="Z263" s="136">
        <f t="shared" si="22"/>
        <v>-0.005</v>
      </c>
      <c r="AA263" s="136">
        <f t="shared" si="22"/>
        <v>-0.005</v>
      </c>
      <c r="AB263" s="136">
        <f t="shared" si="22"/>
        <v>0.08</v>
      </c>
      <c r="AC263" s="136">
        <f t="shared" si="22"/>
        <v>-0.04</v>
      </c>
      <c r="AD263" s="136">
        <f t="shared" si="22"/>
        <v>5.9</v>
      </c>
      <c r="AE263" s="136">
        <f t="shared" si="22"/>
        <v>0.024</v>
      </c>
      <c r="AF263" s="136">
        <f t="shared" si="22"/>
        <v>-0.0002</v>
      </c>
      <c r="AG263" s="136">
        <f t="shared" si="22"/>
        <v>-0.01</v>
      </c>
      <c r="AH263" s="136">
        <f t="shared" si="22"/>
        <v>-0.001</v>
      </c>
      <c r="AI263" s="136">
        <f t="shared" si="22"/>
        <v>-0.005</v>
      </c>
      <c r="AJ263" s="136">
        <f t="shared" si="22"/>
        <v>0.02</v>
      </c>
    </row>
    <row r="264" spans="1:36" ht="12.75" hidden="1">
      <c r="A264" s="133">
        <v>36012.46527777778</v>
      </c>
      <c r="B264" s="134">
        <v>36012.46527777778</v>
      </c>
      <c r="C264" s="136">
        <v>725</v>
      </c>
      <c r="D264" s="136">
        <v>8.2</v>
      </c>
      <c r="E264" s="136">
        <v>207</v>
      </c>
      <c r="F264" s="168"/>
      <c r="G264" s="135">
        <v>6.7</v>
      </c>
      <c r="H264" s="135">
        <v>20.3</v>
      </c>
      <c r="I264" s="168"/>
      <c r="J264" s="138">
        <v>6</v>
      </c>
      <c r="K264" s="184">
        <v>62</v>
      </c>
      <c r="L264" s="138"/>
      <c r="M264" s="138">
        <v>88</v>
      </c>
      <c r="N264" s="178">
        <v>0.01</v>
      </c>
      <c r="O264" s="138">
        <v>0.12</v>
      </c>
      <c r="P264" s="184">
        <v>0.12</v>
      </c>
      <c r="Q264" s="138">
        <v>0.05</v>
      </c>
      <c r="R264" s="138"/>
      <c r="S264" s="184">
        <v>0.093</v>
      </c>
      <c r="T264" s="183">
        <v>0.13</v>
      </c>
      <c r="U264" s="184">
        <v>32</v>
      </c>
      <c r="V264" s="138"/>
      <c r="W264" s="138">
        <v>0.003</v>
      </c>
      <c r="X264" s="135">
        <v>25</v>
      </c>
      <c r="Y264" s="138">
        <v>-0.01</v>
      </c>
      <c r="Z264" s="138"/>
      <c r="AA264" s="138"/>
      <c r="AB264" s="138"/>
      <c r="AC264" s="138">
        <v>-0.04</v>
      </c>
      <c r="AD264" s="135">
        <v>6.1</v>
      </c>
      <c r="AE264" s="138"/>
      <c r="AF264" s="138">
        <v>-0.0002</v>
      </c>
      <c r="AG264" s="138"/>
      <c r="AH264" s="138">
        <v>-0.001</v>
      </c>
      <c r="AI264" s="138"/>
      <c r="AJ264" s="138"/>
    </row>
    <row r="265" spans="1:36" ht="12.75" hidden="1">
      <c r="A265" s="133">
        <v>36026.336805555555</v>
      </c>
      <c r="B265" s="134">
        <v>36026.336805555555</v>
      </c>
      <c r="C265" s="136">
        <v>250</v>
      </c>
      <c r="D265" s="136">
        <v>7.7</v>
      </c>
      <c r="E265" s="136">
        <v>228</v>
      </c>
      <c r="F265" s="168"/>
      <c r="G265" s="135">
        <v>8.3</v>
      </c>
      <c r="H265" s="135">
        <v>19.4</v>
      </c>
      <c r="I265" s="168"/>
      <c r="J265" s="168"/>
      <c r="K265" s="168"/>
      <c r="L265" s="168"/>
      <c r="M265" s="168"/>
      <c r="N265" s="178">
        <v>0.07</v>
      </c>
      <c r="O265" s="138">
        <v>0.07</v>
      </c>
      <c r="P265" s="138">
        <v>0.01</v>
      </c>
      <c r="Q265" s="138">
        <v>0.05</v>
      </c>
      <c r="R265" s="138"/>
      <c r="S265" s="138">
        <v>0.022</v>
      </c>
      <c r="T265" s="179">
        <v>0.01</v>
      </c>
      <c r="U265" s="138">
        <v>6</v>
      </c>
      <c r="V265" s="138"/>
      <c r="W265" s="138"/>
      <c r="X265" s="135"/>
      <c r="Y265" s="138"/>
      <c r="Z265" s="138"/>
      <c r="AA265" s="138"/>
      <c r="AB265" s="138"/>
      <c r="AC265" s="138"/>
      <c r="AD265" s="135"/>
      <c r="AE265" s="138"/>
      <c r="AF265" s="138"/>
      <c r="AG265" s="138"/>
      <c r="AH265" s="138"/>
      <c r="AI265" s="138"/>
      <c r="AJ265" s="138"/>
    </row>
    <row r="266" spans="1:36" ht="12.75">
      <c r="A266" s="133" t="s">
        <v>6</v>
      </c>
      <c r="B266" s="134"/>
      <c r="C266" s="136"/>
      <c r="D266" s="136">
        <f>AVERAGE(D264:D265)</f>
        <v>7.949999999999999</v>
      </c>
      <c r="E266" s="136">
        <f aca="true" t="shared" si="23" ref="E266:AH266">AVERAGE(E264:E265)</f>
        <v>217.5</v>
      </c>
      <c r="F266" s="136"/>
      <c r="G266" s="136">
        <f t="shared" si="23"/>
        <v>7.5</v>
      </c>
      <c r="H266" s="136">
        <f t="shared" si="23"/>
        <v>19.85</v>
      </c>
      <c r="I266" s="136"/>
      <c r="J266" s="136">
        <f t="shared" si="23"/>
        <v>6</v>
      </c>
      <c r="K266" s="136">
        <f t="shared" si="23"/>
        <v>62</v>
      </c>
      <c r="L266" s="136"/>
      <c r="M266" s="136">
        <f t="shared" si="23"/>
        <v>88</v>
      </c>
      <c r="N266" s="136">
        <f t="shared" si="23"/>
        <v>0.04</v>
      </c>
      <c r="O266" s="136">
        <f t="shared" si="23"/>
        <v>0.095</v>
      </c>
      <c r="P266" s="136">
        <f t="shared" si="23"/>
        <v>0.065</v>
      </c>
      <c r="Q266" s="136">
        <f t="shared" si="23"/>
        <v>0.05</v>
      </c>
      <c r="R266" s="136"/>
      <c r="S266" s="136">
        <f t="shared" si="23"/>
        <v>0.057499999999999996</v>
      </c>
      <c r="T266" s="136">
        <f t="shared" si="23"/>
        <v>0.07</v>
      </c>
      <c r="U266" s="136">
        <f t="shared" si="23"/>
        <v>19</v>
      </c>
      <c r="V266" s="136"/>
      <c r="W266" s="136">
        <f t="shared" si="23"/>
        <v>0.003</v>
      </c>
      <c r="X266" s="136">
        <f t="shared" si="23"/>
        <v>25</v>
      </c>
      <c r="Y266" s="136">
        <f t="shared" si="23"/>
        <v>-0.01</v>
      </c>
      <c r="Z266" s="136"/>
      <c r="AA266" s="136"/>
      <c r="AB266" s="136"/>
      <c r="AC266" s="136">
        <f t="shared" si="23"/>
        <v>-0.04</v>
      </c>
      <c r="AD266" s="136">
        <f t="shared" si="23"/>
        <v>6.1</v>
      </c>
      <c r="AE266" s="136"/>
      <c r="AF266" s="136">
        <f t="shared" si="23"/>
        <v>-0.0002</v>
      </c>
      <c r="AG266" s="136"/>
      <c r="AH266" s="136">
        <f t="shared" si="23"/>
        <v>-0.001</v>
      </c>
      <c r="AI266" s="136"/>
      <c r="AJ266" s="136"/>
    </row>
    <row r="267" spans="1:36" ht="12.75" hidden="1">
      <c r="A267" s="133">
        <v>36041.34722222222</v>
      </c>
      <c r="B267" s="134">
        <v>36041.34722222222</v>
      </c>
      <c r="C267" s="136">
        <v>475</v>
      </c>
      <c r="D267" s="136">
        <v>7.5</v>
      </c>
      <c r="E267" s="136">
        <v>243</v>
      </c>
      <c r="F267" s="168"/>
      <c r="G267" s="135">
        <v>8.7</v>
      </c>
      <c r="H267" s="135">
        <v>19.7</v>
      </c>
      <c r="I267" s="168"/>
      <c r="J267" s="138">
        <v>3</v>
      </c>
      <c r="K267" s="138">
        <v>2</v>
      </c>
      <c r="L267" s="138"/>
      <c r="M267" s="138">
        <v>101</v>
      </c>
      <c r="N267" s="178">
        <v>0.05</v>
      </c>
      <c r="O267" s="138">
        <v>0.06</v>
      </c>
      <c r="P267" s="138">
        <v>0.01</v>
      </c>
      <c r="Q267" s="138">
        <v>0.05</v>
      </c>
      <c r="R267" s="138"/>
      <c r="S267" s="138">
        <v>0.011</v>
      </c>
      <c r="T267" s="179">
        <v>0.02</v>
      </c>
      <c r="U267" s="138">
        <v>10</v>
      </c>
      <c r="V267" s="138"/>
      <c r="W267" s="138">
        <v>0.003</v>
      </c>
      <c r="X267" s="135">
        <v>28.9</v>
      </c>
      <c r="Y267" s="138">
        <v>-0.01</v>
      </c>
      <c r="Z267" s="138"/>
      <c r="AA267" s="138"/>
      <c r="AB267" s="138"/>
      <c r="AC267" s="138">
        <v>-0.04</v>
      </c>
      <c r="AD267" s="135">
        <v>7</v>
      </c>
      <c r="AE267" s="138"/>
      <c r="AF267" s="138">
        <v>-0.0002</v>
      </c>
      <c r="AG267" s="138"/>
      <c r="AH267" s="138">
        <v>-0.001</v>
      </c>
      <c r="AI267" s="138"/>
      <c r="AJ267" s="138"/>
    </row>
    <row r="268" spans="1:36" ht="12.75" hidden="1">
      <c r="A268" s="133">
        <v>36054.34027777778</v>
      </c>
      <c r="B268" s="134">
        <v>36054.34027777778</v>
      </c>
      <c r="C268" s="136">
        <v>5</v>
      </c>
      <c r="D268" s="136">
        <v>7.7</v>
      </c>
      <c r="E268" s="136">
        <v>249</v>
      </c>
      <c r="F268" s="168"/>
      <c r="G268" s="135">
        <v>6.5</v>
      </c>
      <c r="H268" s="135">
        <v>17.9</v>
      </c>
      <c r="I268" s="168"/>
      <c r="J268" s="168"/>
      <c r="K268" s="168"/>
      <c r="L268" s="138"/>
      <c r="M268" s="138"/>
      <c r="N268" s="178">
        <v>0.02</v>
      </c>
      <c r="O268" s="138">
        <v>-0.02</v>
      </c>
      <c r="P268" s="138">
        <v>0.01</v>
      </c>
      <c r="Q268" s="138">
        <v>0.05</v>
      </c>
      <c r="R268" s="138"/>
      <c r="S268" s="138">
        <v>0.007</v>
      </c>
      <c r="T268" s="179">
        <v>0.01</v>
      </c>
      <c r="U268" s="138">
        <v>14</v>
      </c>
      <c r="V268" s="138"/>
      <c r="W268" s="138"/>
      <c r="X268" s="135"/>
      <c r="Y268" s="138"/>
      <c r="Z268" s="138"/>
      <c r="AA268" s="138"/>
      <c r="AB268" s="138"/>
      <c r="AC268" s="138"/>
      <c r="AD268" s="135"/>
      <c r="AE268" s="138"/>
      <c r="AF268" s="138"/>
      <c r="AG268" s="138"/>
      <c r="AH268" s="138"/>
      <c r="AI268" s="138"/>
      <c r="AJ268" s="138"/>
    </row>
    <row r="269" spans="1:36" ht="12.75">
      <c r="A269" s="133" t="s">
        <v>7</v>
      </c>
      <c r="B269" s="134"/>
      <c r="C269" s="136"/>
      <c r="D269" s="136">
        <f>AVERAGE(D267:D268)</f>
        <v>7.6</v>
      </c>
      <c r="E269" s="136">
        <f aca="true" t="shared" si="24" ref="E269:AH269">AVERAGE(E267:E268)</f>
        <v>246</v>
      </c>
      <c r="F269" s="136"/>
      <c r="G269" s="136">
        <f t="shared" si="24"/>
        <v>7.6</v>
      </c>
      <c r="H269" s="136">
        <f t="shared" si="24"/>
        <v>18.799999999999997</v>
      </c>
      <c r="I269" s="136"/>
      <c r="J269" s="136">
        <f t="shared" si="24"/>
        <v>3</v>
      </c>
      <c r="K269" s="136">
        <f t="shared" si="24"/>
        <v>2</v>
      </c>
      <c r="L269" s="136"/>
      <c r="M269" s="136">
        <f t="shared" si="24"/>
        <v>101</v>
      </c>
      <c r="N269" s="136">
        <f t="shared" si="24"/>
        <v>0.035</v>
      </c>
      <c r="O269" s="136">
        <f t="shared" si="24"/>
        <v>0.019999999999999997</v>
      </c>
      <c r="P269" s="136">
        <f t="shared" si="24"/>
        <v>0.01</v>
      </c>
      <c r="Q269" s="136">
        <f t="shared" si="24"/>
        <v>0.05</v>
      </c>
      <c r="R269" s="136"/>
      <c r="S269" s="136">
        <f t="shared" si="24"/>
        <v>0.009</v>
      </c>
      <c r="T269" s="136">
        <f t="shared" si="24"/>
        <v>0.015</v>
      </c>
      <c r="U269" s="136">
        <f t="shared" si="24"/>
        <v>12</v>
      </c>
      <c r="V269" s="136"/>
      <c r="W269" s="136">
        <f t="shared" si="24"/>
        <v>0.003</v>
      </c>
      <c r="X269" s="136">
        <f t="shared" si="24"/>
        <v>28.9</v>
      </c>
      <c r="Y269" s="136">
        <f t="shared" si="24"/>
        <v>-0.01</v>
      </c>
      <c r="Z269" s="136"/>
      <c r="AA269" s="136"/>
      <c r="AB269" s="136"/>
      <c r="AC269" s="136">
        <f t="shared" si="24"/>
        <v>-0.04</v>
      </c>
      <c r="AD269" s="136">
        <f t="shared" si="24"/>
        <v>7</v>
      </c>
      <c r="AE269" s="136"/>
      <c r="AF269" s="136">
        <f t="shared" si="24"/>
        <v>-0.0002</v>
      </c>
      <c r="AG269" s="136"/>
      <c r="AH269" s="136">
        <f t="shared" si="24"/>
        <v>-0.001</v>
      </c>
      <c r="AI269" s="136"/>
      <c r="AJ269" s="136"/>
    </row>
    <row r="270" spans="1:36" ht="12.75">
      <c r="A270" s="133">
        <v>36082.520833333336</v>
      </c>
      <c r="B270" s="134">
        <v>36082.520833333336</v>
      </c>
      <c r="C270" s="136">
        <v>90</v>
      </c>
      <c r="D270" s="136">
        <v>8.3</v>
      </c>
      <c r="E270" s="136">
        <v>269</v>
      </c>
      <c r="F270" s="168"/>
      <c r="G270" s="135">
        <v>9.8</v>
      </c>
      <c r="H270" s="135">
        <v>15.1</v>
      </c>
      <c r="I270" s="138">
        <v>80</v>
      </c>
      <c r="J270" s="138">
        <v>2</v>
      </c>
      <c r="K270" s="138">
        <v>1</v>
      </c>
      <c r="L270" s="138">
        <v>-0.01</v>
      </c>
      <c r="M270" s="138">
        <v>103</v>
      </c>
      <c r="N270" s="178">
        <v>0.02</v>
      </c>
      <c r="O270" s="138">
        <v>-0.02</v>
      </c>
      <c r="P270" s="138">
        <v>0.01</v>
      </c>
      <c r="Q270" s="138">
        <v>0.05</v>
      </c>
      <c r="R270" s="138">
        <v>0.3</v>
      </c>
      <c r="S270" s="138">
        <v>0.005</v>
      </c>
      <c r="T270" s="179">
        <v>0.01</v>
      </c>
      <c r="U270" s="138">
        <v>6</v>
      </c>
      <c r="V270" s="138">
        <v>0.001</v>
      </c>
      <c r="W270" s="138">
        <v>0.003</v>
      </c>
      <c r="X270" s="135">
        <v>28.6</v>
      </c>
      <c r="Y270" s="138">
        <v>-0.01</v>
      </c>
      <c r="Z270" s="138">
        <v>-0.005</v>
      </c>
      <c r="AA270" s="138">
        <v>-0.005</v>
      </c>
      <c r="AB270" s="138">
        <v>0.05</v>
      </c>
      <c r="AC270" s="138">
        <v>-0.04</v>
      </c>
      <c r="AD270" s="135">
        <v>7.6</v>
      </c>
      <c r="AE270" s="138">
        <v>0.011</v>
      </c>
      <c r="AF270" s="138">
        <v>-0.0002</v>
      </c>
      <c r="AG270" s="138">
        <v>-0.01</v>
      </c>
      <c r="AH270" s="138">
        <v>-0.001</v>
      </c>
      <c r="AI270" s="138">
        <v>-0.005</v>
      </c>
      <c r="AJ270" s="138">
        <v>0.01</v>
      </c>
    </row>
    <row r="271" spans="1:36" ht="12.75">
      <c r="A271" s="133">
        <v>36110.354166666664</v>
      </c>
      <c r="B271" s="134">
        <v>36110.354166666664</v>
      </c>
      <c r="C271" s="136">
        <v>30</v>
      </c>
      <c r="D271" s="136">
        <v>7.6</v>
      </c>
      <c r="E271" s="136">
        <v>290</v>
      </c>
      <c r="F271" s="168"/>
      <c r="G271" s="135">
        <v>12.4</v>
      </c>
      <c r="H271" s="135">
        <v>5</v>
      </c>
      <c r="I271" s="168"/>
      <c r="J271" s="138">
        <v>3</v>
      </c>
      <c r="K271" s="138">
        <v>10</v>
      </c>
      <c r="L271" s="138"/>
      <c r="M271" s="138">
        <v>115</v>
      </c>
      <c r="N271" s="178">
        <v>0.04</v>
      </c>
      <c r="O271" s="138">
        <v>0.04</v>
      </c>
      <c r="P271" s="138">
        <v>0.01</v>
      </c>
      <c r="Q271" s="138">
        <v>0.07</v>
      </c>
      <c r="R271" s="138"/>
      <c r="S271" s="138">
        <v>0.008</v>
      </c>
      <c r="T271" s="179">
        <v>0.05</v>
      </c>
      <c r="U271" s="138">
        <v>5</v>
      </c>
      <c r="V271" s="138"/>
      <c r="W271" s="138">
        <v>0.003</v>
      </c>
      <c r="X271" s="135">
        <v>32.2</v>
      </c>
      <c r="Y271" s="138">
        <v>-0.01</v>
      </c>
      <c r="Z271" s="138"/>
      <c r="AA271" s="138"/>
      <c r="AB271" s="138"/>
      <c r="AC271" s="138">
        <v>-0.04</v>
      </c>
      <c r="AD271" s="135">
        <v>8.4</v>
      </c>
      <c r="AE271" s="138"/>
      <c r="AF271" s="138">
        <v>-0.0002</v>
      </c>
      <c r="AG271" s="138"/>
      <c r="AH271" s="138">
        <v>-0.001</v>
      </c>
      <c r="AI271" s="138"/>
      <c r="AJ271" s="138"/>
    </row>
    <row r="272" spans="1:36" ht="12.75">
      <c r="A272" s="133">
        <v>36137.375</v>
      </c>
      <c r="B272" s="134">
        <v>36137.375</v>
      </c>
      <c r="C272" s="136">
        <v>5</v>
      </c>
      <c r="D272" s="136">
        <v>8.3</v>
      </c>
      <c r="E272" s="136">
        <v>311</v>
      </c>
      <c r="F272" s="168"/>
      <c r="G272" s="135">
        <v>11.9</v>
      </c>
      <c r="H272" s="135">
        <v>0.1</v>
      </c>
      <c r="I272" s="168"/>
      <c r="J272" s="138">
        <v>3</v>
      </c>
      <c r="K272" s="138">
        <v>1</v>
      </c>
      <c r="L272" s="138"/>
      <c r="M272" s="138">
        <v>126</v>
      </c>
      <c r="N272" s="178">
        <v>0.02</v>
      </c>
      <c r="O272" s="138">
        <v>-0.02</v>
      </c>
      <c r="P272" s="138">
        <v>0.01</v>
      </c>
      <c r="Q272" s="138">
        <v>0.05</v>
      </c>
      <c r="R272" s="138"/>
      <c r="S272" s="138">
        <v>0.005</v>
      </c>
      <c r="T272" s="179">
        <v>0.01</v>
      </c>
      <c r="U272" s="138">
        <v>6</v>
      </c>
      <c r="V272" s="138"/>
      <c r="W272" s="138">
        <v>0.003</v>
      </c>
      <c r="X272" s="135">
        <v>35.3</v>
      </c>
      <c r="Y272" s="138">
        <v>-0.01</v>
      </c>
      <c r="Z272" s="138"/>
      <c r="AA272" s="138"/>
      <c r="AB272" s="138"/>
      <c r="AC272" s="138">
        <v>-0.04</v>
      </c>
      <c r="AD272" s="180">
        <v>9.1</v>
      </c>
      <c r="AE272" s="138"/>
      <c r="AF272" s="138">
        <v>-0.0002</v>
      </c>
      <c r="AG272" s="138"/>
      <c r="AH272" s="138">
        <v>-0.001</v>
      </c>
      <c r="AI272" s="138"/>
      <c r="AJ272" s="138"/>
    </row>
    <row r="273" spans="1:36" ht="12.75">
      <c r="A273" s="25" t="s">
        <v>383</v>
      </c>
      <c r="B273" s="25"/>
      <c r="C273" s="25"/>
      <c r="D273" s="190">
        <f>AVERAGE(D255:D272)</f>
        <v>7.791666666666668</v>
      </c>
      <c r="E273" s="188">
        <f aca="true" t="shared" si="25" ref="E273:AJ273">AVERAGE(E255:E272)</f>
        <v>251.61111111111111</v>
      </c>
      <c r="F273" s="25"/>
      <c r="G273" s="190">
        <f t="shared" si="25"/>
        <v>9.836111111111112</v>
      </c>
      <c r="H273" s="190">
        <f t="shared" si="25"/>
        <v>13.508333333333333</v>
      </c>
      <c r="I273" s="25">
        <f t="shared" si="25"/>
        <v>70.4</v>
      </c>
      <c r="J273" s="25">
        <f t="shared" si="25"/>
        <v>3.533333333333333</v>
      </c>
      <c r="K273" s="188">
        <f>GEOMEAN(K255:K272)</f>
        <v>3.1478181847255478</v>
      </c>
      <c r="L273" s="25">
        <f t="shared" si="25"/>
        <v>-0.01</v>
      </c>
      <c r="M273" s="25">
        <f t="shared" si="25"/>
        <v>102.46666666666667</v>
      </c>
      <c r="N273" s="25">
        <f t="shared" si="25"/>
        <v>0.06722222222222222</v>
      </c>
      <c r="O273" s="25">
        <f t="shared" si="25"/>
        <v>0.07083333333333333</v>
      </c>
      <c r="P273" s="189">
        <f t="shared" si="25"/>
        <v>0.019166666666666672</v>
      </c>
      <c r="Q273" s="25">
        <f t="shared" si="25"/>
        <v>0.07055555555555558</v>
      </c>
      <c r="R273" s="25">
        <f t="shared" si="25"/>
        <v>0.3</v>
      </c>
      <c r="S273" s="25">
        <f t="shared" si="25"/>
        <v>0.01766666666666667</v>
      </c>
      <c r="T273" s="25">
        <f t="shared" si="25"/>
        <v>0.027777777777777776</v>
      </c>
      <c r="U273" s="188">
        <f t="shared" si="25"/>
        <v>10.027777777777779</v>
      </c>
      <c r="V273" s="25">
        <f t="shared" si="25"/>
        <v>0</v>
      </c>
      <c r="W273" s="25">
        <f t="shared" si="25"/>
        <v>0.0030000000000000005</v>
      </c>
      <c r="X273" s="25">
        <f t="shared" si="25"/>
        <v>29.06</v>
      </c>
      <c r="Y273" s="25">
        <f t="shared" si="25"/>
        <v>-0.008666666666666665</v>
      </c>
      <c r="Z273" s="25">
        <f t="shared" si="25"/>
        <v>-0.005</v>
      </c>
      <c r="AA273" s="25">
        <f t="shared" si="25"/>
        <v>-0.005</v>
      </c>
      <c r="AB273" s="25">
        <f t="shared" si="25"/>
        <v>0.10000000000000002</v>
      </c>
      <c r="AC273" s="25">
        <f t="shared" si="25"/>
        <v>-0.04</v>
      </c>
      <c r="AD273" s="25">
        <f t="shared" si="25"/>
        <v>7.239999999999999</v>
      </c>
      <c r="AE273" s="25">
        <f t="shared" si="25"/>
        <v>0.0356</v>
      </c>
      <c r="AF273" s="25">
        <f t="shared" si="25"/>
        <v>-0.00020000000000000006</v>
      </c>
      <c r="AG273" s="25">
        <f t="shared" si="25"/>
        <v>-0.01</v>
      </c>
      <c r="AH273" s="25">
        <f t="shared" si="25"/>
        <v>-0.0010000000000000005</v>
      </c>
      <c r="AI273" s="25">
        <f t="shared" si="25"/>
        <v>-0.005</v>
      </c>
      <c r="AJ273" s="25">
        <f t="shared" si="25"/>
        <v>0.02</v>
      </c>
    </row>
    <row r="274" spans="1:36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</row>
    <row r="275" spans="1:36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</row>
    <row r="276" spans="1:36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</row>
    <row r="277" spans="1:36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</row>
    <row r="278" spans="1:36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</row>
    <row r="279" spans="1:36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</row>
  </sheetData>
  <mergeCells count="9">
    <mergeCell ref="F1:G1"/>
    <mergeCell ref="A126:B126"/>
    <mergeCell ref="A208:C208"/>
    <mergeCell ref="A222:C222"/>
    <mergeCell ref="A236:C236"/>
    <mergeCell ref="G206:H206"/>
    <mergeCell ref="G207:G208"/>
    <mergeCell ref="H207:H208"/>
    <mergeCell ref="F206:F208"/>
  </mergeCells>
  <printOptions headings="1"/>
  <pageMargins left="0.25" right="0.25" top="0.25" bottom="0.25" header="0.25" footer="0.25"/>
  <pageSetup horizontalDpi="600" verticalDpi="600" orientation="landscape" pageOrder="overThenDown" r:id="rId2"/>
  <rowBreaks count="1" manualBreakCount="1">
    <brk id="12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workbookViewId="0" topLeftCell="I1">
      <selection activeCell="O19" sqref="O19"/>
    </sheetView>
  </sheetViews>
  <sheetFormatPr defaultColWidth="9.140625" defaultRowHeight="12.75"/>
  <cols>
    <col min="1" max="1" width="10.140625" style="0" customWidth="1"/>
    <col min="2" max="2" width="12.57421875" style="0" customWidth="1"/>
    <col min="14" max="14" width="9.8515625" style="0" customWidth="1"/>
    <col min="15" max="15" width="10.28125" style="0" customWidth="1"/>
    <col min="16" max="16" width="15.28125" style="0" customWidth="1"/>
    <col min="17" max="17" width="11.57421875" style="0" customWidth="1"/>
  </cols>
  <sheetData>
    <row r="1" spans="2:12" ht="15.75">
      <c r="B1" s="33" t="s">
        <v>108</v>
      </c>
      <c r="C1" s="32" t="s">
        <v>109</v>
      </c>
      <c r="E1" t="s">
        <v>148</v>
      </c>
      <c r="L1" t="s">
        <v>222</v>
      </c>
    </row>
    <row r="2" spans="2:9" ht="12.75">
      <c r="B2" s="268" t="s">
        <v>11</v>
      </c>
      <c r="C2" s="268"/>
      <c r="D2" s="268" t="s">
        <v>12</v>
      </c>
      <c r="E2" s="268"/>
      <c r="F2" s="268" t="s">
        <v>13</v>
      </c>
      <c r="G2" s="268"/>
      <c r="H2" s="268" t="s">
        <v>101</v>
      </c>
      <c r="I2" s="268"/>
    </row>
    <row r="3" spans="2:14" ht="14.25">
      <c r="B3" s="47" t="s">
        <v>144</v>
      </c>
      <c r="C3" s="46" t="s">
        <v>117</v>
      </c>
      <c r="D3" s="47" t="s">
        <v>144</v>
      </c>
      <c r="E3" s="46" t="s">
        <v>117</v>
      </c>
      <c r="F3" s="47" t="s">
        <v>144</v>
      </c>
      <c r="G3" s="46" t="s">
        <v>117</v>
      </c>
      <c r="H3" s="47" t="s">
        <v>144</v>
      </c>
      <c r="I3" s="46" t="s">
        <v>117</v>
      </c>
      <c r="L3" t="s">
        <v>224</v>
      </c>
      <c r="N3" s="35" t="s">
        <v>147</v>
      </c>
    </row>
    <row r="4" spans="1:17" ht="12.75">
      <c r="A4" s="34">
        <v>35471</v>
      </c>
      <c r="B4" s="61">
        <v>1.5061643742029505</v>
      </c>
      <c r="C4" s="35">
        <v>1.5</v>
      </c>
      <c r="D4" s="64">
        <v>1.3002645799411898</v>
      </c>
      <c r="E4" s="74">
        <v>1.5</v>
      </c>
      <c r="F4" s="64">
        <v>1.5920383612830158</v>
      </c>
      <c r="G4" s="35">
        <v>1.5</v>
      </c>
      <c r="H4" s="64">
        <v>1.4272989484626173</v>
      </c>
      <c r="I4" s="74">
        <v>1.5</v>
      </c>
      <c r="M4" t="s">
        <v>11</v>
      </c>
      <c r="N4" s="268" t="s">
        <v>144</v>
      </c>
      <c r="O4" s="268"/>
      <c r="P4" s="268"/>
      <c r="Q4" s="268"/>
    </row>
    <row r="5" spans="1:17" ht="12.75">
      <c r="A5" s="34">
        <v>35487</v>
      </c>
      <c r="B5" s="61">
        <v>1.3937361939591866</v>
      </c>
      <c r="C5" s="74">
        <v>1.5</v>
      </c>
      <c r="D5" s="64">
        <v>1.3937361939591866</v>
      </c>
      <c r="E5" s="74">
        <v>3</v>
      </c>
      <c r="F5" s="64">
        <v>1.5594775057138093</v>
      </c>
      <c r="G5" s="35">
        <v>1.5</v>
      </c>
      <c r="H5" s="64">
        <v>1.424538247635223</v>
      </c>
      <c r="I5" s="74">
        <v>1.5</v>
      </c>
      <c r="M5" t="s">
        <v>140</v>
      </c>
      <c r="N5" s="75" t="s">
        <v>103</v>
      </c>
      <c r="O5" s="75" t="s">
        <v>223</v>
      </c>
      <c r="P5" s="75" t="s">
        <v>229</v>
      </c>
      <c r="Q5" s="76" t="s">
        <v>231</v>
      </c>
    </row>
    <row r="6" spans="1:17" ht="12.75">
      <c r="A6" s="34">
        <v>35501</v>
      </c>
      <c r="B6" s="61">
        <v>1.6163397936760324</v>
      </c>
      <c r="C6" s="35">
        <v>1.5</v>
      </c>
      <c r="D6" s="64">
        <v>1.468951575363702</v>
      </c>
      <c r="E6" s="74">
        <v>1.5</v>
      </c>
      <c r="F6" s="64">
        <v>1.4606471538682528</v>
      </c>
      <c r="G6" s="74">
        <v>1.5</v>
      </c>
      <c r="H6" s="64">
        <v>1.5472192836401262</v>
      </c>
      <c r="I6" s="35">
        <v>1.5</v>
      </c>
      <c r="L6" s="34">
        <v>35471</v>
      </c>
      <c r="M6" s="13">
        <v>143.5</v>
      </c>
      <c r="N6" s="77">
        <f>LN(M6)</f>
        <v>4.966335035199676</v>
      </c>
      <c r="O6" s="77">
        <f>1.417*N6</f>
        <v>7.037296744877941</v>
      </c>
      <c r="P6" s="77">
        <f>+O6-5.167</f>
        <v>1.8702967448779413</v>
      </c>
      <c r="Q6" s="77">
        <f>EXP(P6)</f>
        <v>6.490222053709677</v>
      </c>
    </row>
    <row r="7" spans="1:17" ht="12.75">
      <c r="A7" s="34">
        <v>35537</v>
      </c>
      <c r="B7" s="61">
        <v>1.5185126477074562</v>
      </c>
      <c r="C7" s="35">
        <v>1.5</v>
      </c>
      <c r="D7" s="64">
        <v>1.3937361939591866</v>
      </c>
      <c r="E7" s="74">
        <v>1.5</v>
      </c>
      <c r="F7" s="64">
        <v>1.575780941033366</v>
      </c>
      <c r="G7" s="35">
        <v>1.5</v>
      </c>
      <c r="H7" s="64">
        <v>1.4958529578655406</v>
      </c>
      <c r="I7" s="35">
        <v>1.5</v>
      </c>
      <c r="L7" s="34">
        <v>35487</v>
      </c>
      <c r="M7" s="13">
        <v>130</v>
      </c>
      <c r="N7" s="77">
        <f aca="true" t="shared" si="0" ref="N7:N17">LN(M7)</f>
        <v>4.867534450455582</v>
      </c>
      <c r="O7" s="77">
        <f aca="true" t="shared" si="1" ref="O7:O17">1.417*N7</f>
        <v>6.89729631629556</v>
      </c>
      <c r="P7" s="77">
        <f aca="true" t="shared" si="2" ref="P7:P17">+O7-5.167</f>
        <v>1.7302963162955605</v>
      </c>
      <c r="Q7" s="77">
        <f aca="true" t="shared" si="3" ref="Q7:Q17">EXP(P7)</f>
        <v>5.642325573757613</v>
      </c>
    </row>
    <row r="8" spans="1:17" ht="12.75">
      <c r="A8" s="34">
        <v>35577</v>
      </c>
      <c r="B8" s="61">
        <v>1.56763502139621</v>
      </c>
      <c r="C8" s="74">
        <v>3</v>
      </c>
      <c r="D8" s="64">
        <v>0.9426035048286</v>
      </c>
      <c r="E8" s="74">
        <v>1.5</v>
      </c>
      <c r="F8" s="64">
        <v>1.3088364238429608</v>
      </c>
      <c r="G8" s="74">
        <v>1.5</v>
      </c>
      <c r="H8" s="64">
        <v>1.575780941033366</v>
      </c>
      <c r="I8" s="35">
        <v>1.5</v>
      </c>
      <c r="L8" s="34">
        <v>35501</v>
      </c>
      <c r="M8" s="13">
        <v>157</v>
      </c>
      <c r="N8" s="77">
        <f t="shared" si="0"/>
        <v>5.056245805348308</v>
      </c>
      <c r="O8" s="77">
        <f t="shared" si="1"/>
        <v>7.164700306178553</v>
      </c>
      <c r="P8" s="77">
        <f t="shared" si="2"/>
        <v>1.9977003061785528</v>
      </c>
      <c r="Q8" s="77">
        <f t="shared" si="3"/>
        <v>7.372083056154704</v>
      </c>
    </row>
    <row r="9" spans="1:17" ht="12.75">
      <c r="A9" s="34">
        <v>35599</v>
      </c>
      <c r="B9" s="61">
        <v>1.1431557386567348</v>
      </c>
      <c r="C9" s="74">
        <v>1.5</v>
      </c>
      <c r="D9" s="64">
        <v>0.7842187970899277</v>
      </c>
      <c r="E9" s="74">
        <v>1.5</v>
      </c>
      <c r="F9" s="64">
        <v>1.1961465731488352</v>
      </c>
      <c r="G9" s="74">
        <v>1.5</v>
      </c>
      <c r="H9" s="64">
        <v>1.2114807493998383</v>
      </c>
      <c r="I9" s="74">
        <v>1.5</v>
      </c>
      <c r="L9" s="34">
        <v>35537</v>
      </c>
      <c r="M9" s="13">
        <v>145</v>
      </c>
      <c r="N9" s="77">
        <f t="shared" si="0"/>
        <v>4.976733742420574</v>
      </c>
      <c r="O9" s="77">
        <f t="shared" si="1"/>
        <v>7.052031713009954</v>
      </c>
      <c r="P9" s="77">
        <f t="shared" si="2"/>
        <v>1.8850317130099539</v>
      </c>
      <c r="Q9" s="77">
        <f t="shared" si="3"/>
        <v>6.58656331845108</v>
      </c>
    </row>
    <row r="10" spans="1:17" ht="12.75">
      <c r="A10" s="34">
        <v>35620.5</v>
      </c>
      <c r="B10" s="61">
        <v>1.0623765116143618</v>
      </c>
      <c r="C10" s="74">
        <v>1.5</v>
      </c>
      <c r="D10" s="64">
        <v>1.035078508551646</v>
      </c>
      <c r="E10" s="74">
        <v>1.5</v>
      </c>
      <c r="F10" s="64">
        <v>1.4272989484626173</v>
      </c>
      <c r="G10" s="74">
        <v>1.5</v>
      </c>
      <c r="H10" s="64">
        <v>1.0623765116143618</v>
      </c>
      <c r="I10" s="74">
        <v>1.5</v>
      </c>
      <c r="L10" s="34">
        <v>35577</v>
      </c>
      <c r="M10" s="11">
        <v>151</v>
      </c>
      <c r="N10" s="77">
        <f t="shared" si="0"/>
        <v>5.017279836814924</v>
      </c>
      <c r="O10" s="77">
        <f t="shared" si="1"/>
        <v>7.109485528766748</v>
      </c>
      <c r="P10" s="77">
        <f t="shared" si="2"/>
        <v>1.9424855287667482</v>
      </c>
      <c r="Q10" s="77">
        <f t="shared" si="3"/>
        <v>6.976068659246523</v>
      </c>
    </row>
    <row r="11" spans="1:17" ht="12.75">
      <c r="A11" s="34">
        <v>35654.520833333336</v>
      </c>
      <c r="B11" s="61">
        <v>1.0714331255850202</v>
      </c>
      <c r="C11" s="74">
        <v>1.5</v>
      </c>
      <c r="D11" s="64">
        <v>0.998371094704865</v>
      </c>
      <c r="E11" s="74">
        <v>1.5</v>
      </c>
      <c r="F11" s="64">
        <v>1.2049154994402966</v>
      </c>
      <c r="G11" s="74">
        <v>1.5</v>
      </c>
      <c r="H11" s="64">
        <v>1.0804688453916855</v>
      </c>
      <c r="I11" s="74">
        <v>1.5</v>
      </c>
      <c r="L11" s="34">
        <v>35599</v>
      </c>
      <c r="M11" s="13">
        <v>101</v>
      </c>
      <c r="N11" s="77">
        <f t="shared" si="0"/>
        <v>4.61512051684126</v>
      </c>
      <c r="O11" s="77">
        <f t="shared" si="1"/>
        <v>6.539625772364065</v>
      </c>
      <c r="P11" s="77">
        <f t="shared" si="2"/>
        <v>1.3726257723640654</v>
      </c>
      <c r="Q11" s="77">
        <f t="shared" si="3"/>
        <v>3.9456976089443834</v>
      </c>
    </row>
    <row r="12" spans="1:17" ht="12.75">
      <c r="A12" s="34">
        <v>35676.48263888889</v>
      </c>
      <c r="B12" s="61">
        <v>1.1074533058868303</v>
      </c>
      <c r="C12" s="74">
        <v>1.5</v>
      </c>
      <c r="D12" s="64">
        <v>1.0623765116143618</v>
      </c>
      <c r="E12" s="74">
        <v>1.5</v>
      </c>
      <c r="F12" s="64">
        <v>1.4523297961697115</v>
      </c>
      <c r="G12" s="74">
        <v>10</v>
      </c>
      <c r="H12" s="64">
        <v>1.1096938519832793</v>
      </c>
      <c r="I12" s="74">
        <v>1.5</v>
      </c>
      <c r="L12" s="34">
        <v>35620.5</v>
      </c>
      <c r="M12" s="11">
        <v>92</v>
      </c>
      <c r="N12" s="77">
        <f t="shared" si="0"/>
        <v>4.5217885770490405</v>
      </c>
      <c r="O12" s="77">
        <f t="shared" si="1"/>
        <v>6.4073744136784905</v>
      </c>
      <c r="P12" s="77">
        <f t="shared" si="2"/>
        <v>1.2403744136784907</v>
      </c>
      <c r="Q12" s="77">
        <f t="shared" si="3"/>
        <v>3.4569075359553194</v>
      </c>
    </row>
    <row r="13" spans="1:17" ht="12.75">
      <c r="A13" s="34">
        <v>35711.399305555555</v>
      </c>
      <c r="B13" s="61">
        <v>0.9798788329993693</v>
      </c>
      <c r="C13" s="74">
        <v>1.5</v>
      </c>
      <c r="D13" s="64">
        <v>1.1608926111226165</v>
      </c>
      <c r="E13" s="74">
        <v>1.5</v>
      </c>
      <c r="F13" s="64">
        <v>1.6163397936760324</v>
      </c>
      <c r="G13" s="35">
        <v>1.5</v>
      </c>
      <c r="H13" s="64">
        <v>1.1134551869810283</v>
      </c>
      <c r="I13" s="74">
        <v>1.5</v>
      </c>
      <c r="L13" s="34">
        <v>35654.520833333336</v>
      </c>
      <c r="M13" s="13">
        <v>93</v>
      </c>
      <c r="N13" s="77">
        <f t="shared" si="0"/>
        <v>4.532599493153256</v>
      </c>
      <c r="O13" s="77">
        <f t="shared" si="1"/>
        <v>6.422693481798165</v>
      </c>
      <c r="P13" s="77">
        <f t="shared" si="2"/>
        <v>1.2556934817981649</v>
      </c>
      <c r="Q13" s="77">
        <f t="shared" si="3"/>
        <v>3.5102718400906703</v>
      </c>
    </row>
    <row r="14" spans="1:17" ht="12.75">
      <c r="A14" s="34">
        <v>35753.43402777778</v>
      </c>
      <c r="B14" s="61">
        <v>1.2571698222041165</v>
      </c>
      <c r="C14" s="74">
        <v>1.5</v>
      </c>
      <c r="D14" s="64">
        <v>1.1253432568590958</v>
      </c>
      <c r="E14" s="74">
        <v>1.5</v>
      </c>
      <c r="F14" s="64">
        <v>1.510283532136396</v>
      </c>
      <c r="G14" s="35">
        <v>1.5</v>
      </c>
      <c r="H14" s="64">
        <v>1.2744554865996702</v>
      </c>
      <c r="I14" s="74">
        <v>1.5</v>
      </c>
      <c r="L14" s="34">
        <v>35676.48263888889</v>
      </c>
      <c r="M14" s="11">
        <v>97</v>
      </c>
      <c r="N14" s="77">
        <f t="shared" si="0"/>
        <v>4.574710978503383</v>
      </c>
      <c r="O14" s="77">
        <f t="shared" si="1"/>
        <v>6.482365456539293</v>
      </c>
      <c r="P14" s="77">
        <f t="shared" si="2"/>
        <v>1.3153654565392934</v>
      </c>
      <c r="Q14" s="77">
        <f t="shared" si="3"/>
        <v>3.7261124686223632</v>
      </c>
    </row>
    <row r="15" spans="1:17" ht="12.75">
      <c r="A15" s="34">
        <v>35782.572916666664</v>
      </c>
      <c r="B15" s="61">
        <v>1.2485026025199886</v>
      </c>
      <c r="C15" s="74">
        <v>1.5</v>
      </c>
      <c r="D15" s="64">
        <v>1.1873600254773125</v>
      </c>
      <c r="E15" s="74">
        <v>1.5</v>
      </c>
      <c r="F15" s="64">
        <v>1.4439993874687784</v>
      </c>
      <c r="G15" s="74">
        <v>1.5</v>
      </c>
      <c r="H15" s="64">
        <v>1.2830742724148425</v>
      </c>
      <c r="I15" s="74">
        <v>1.5</v>
      </c>
      <c r="L15" s="34">
        <v>35711.399305555555</v>
      </c>
      <c r="M15" s="11">
        <v>83</v>
      </c>
      <c r="N15" s="77">
        <f t="shared" si="0"/>
        <v>4.418840607796598</v>
      </c>
      <c r="O15" s="77">
        <f t="shared" si="1"/>
        <v>6.26149714124778</v>
      </c>
      <c r="P15" s="77">
        <f t="shared" si="2"/>
        <v>1.0944971412477802</v>
      </c>
      <c r="Q15" s="77">
        <f t="shared" si="3"/>
        <v>2.9876799245884103</v>
      </c>
    </row>
    <row r="16" spans="4:17" ht="12.75">
      <c r="D16" s="61"/>
      <c r="L16" s="34">
        <v>35753.43402777778</v>
      </c>
      <c r="M16" s="11">
        <v>114</v>
      </c>
      <c r="N16" s="77">
        <f t="shared" si="0"/>
        <v>4.736198448394496</v>
      </c>
      <c r="O16" s="77">
        <f t="shared" si="1"/>
        <v>6.711193201375001</v>
      </c>
      <c r="P16" s="77">
        <f t="shared" si="2"/>
        <v>1.544193201375001</v>
      </c>
      <c r="Q16" s="77">
        <f t="shared" si="3"/>
        <v>4.684190903305726</v>
      </c>
    </row>
    <row r="17" spans="2:17" ht="15.75">
      <c r="B17" s="62" t="s">
        <v>113</v>
      </c>
      <c r="C17" s="63" t="s">
        <v>109</v>
      </c>
      <c r="D17" s="64"/>
      <c r="E17" s="35" t="s">
        <v>147</v>
      </c>
      <c r="F17" s="35"/>
      <c r="G17" s="35"/>
      <c r="H17" s="35"/>
      <c r="I17" s="35"/>
      <c r="L17" s="71">
        <v>35782</v>
      </c>
      <c r="M17" s="1">
        <v>113</v>
      </c>
      <c r="N17" s="77">
        <f t="shared" si="0"/>
        <v>4.727387818712341</v>
      </c>
      <c r="O17" s="77">
        <f t="shared" si="1"/>
        <v>6.698708539115387</v>
      </c>
      <c r="P17" s="77">
        <f t="shared" si="2"/>
        <v>1.531708539115387</v>
      </c>
      <c r="Q17" s="77">
        <f t="shared" si="3"/>
        <v>4.626073902356507</v>
      </c>
    </row>
    <row r="18" spans="2:9" ht="12.75">
      <c r="B18" s="269" t="s">
        <v>11</v>
      </c>
      <c r="C18" s="269"/>
      <c r="D18" s="270" t="s">
        <v>12</v>
      </c>
      <c r="E18" s="270"/>
      <c r="F18" s="269" t="s">
        <v>13</v>
      </c>
      <c r="G18" s="269"/>
      <c r="H18" s="269" t="s">
        <v>101</v>
      </c>
      <c r="I18" s="269"/>
    </row>
    <row r="19" spans="2:12" ht="12.75">
      <c r="B19" s="66" t="s">
        <v>144</v>
      </c>
      <c r="C19" s="65" t="s">
        <v>117</v>
      </c>
      <c r="D19" s="66" t="s">
        <v>144</v>
      </c>
      <c r="E19" s="65" t="s">
        <v>117</v>
      </c>
      <c r="F19" s="66" t="s">
        <v>144</v>
      </c>
      <c r="G19" s="65" t="s">
        <v>117</v>
      </c>
      <c r="H19" s="66" t="s">
        <v>144</v>
      </c>
      <c r="I19" s="65" t="s">
        <v>117</v>
      </c>
      <c r="L19" t="s">
        <v>222</v>
      </c>
    </row>
    <row r="20" spans="1:9" ht="12.75">
      <c r="A20" s="34">
        <v>35471</v>
      </c>
      <c r="B20" s="64">
        <v>6.490222053709677</v>
      </c>
      <c r="C20" s="74">
        <v>20</v>
      </c>
      <c r="D20" s="64">
        <v>4.977949153940403</v>
      </c>
      <c r="E20" s="74">
        <v>20</v>
      </c>
      <c r="F20" s="64">
        <v>7.173271578334037</v>
      </c>
      <c r="G20" s="74">
        <v>20</v>
      </c>
      <c r="H20" s="64">
        <v>5.889899864177526</v>
      </c>
      <c r="I20" s="74">
        <v>20</v>
      </c>
    </row>
    <row r="21" spans="1:14" ht="14.25">
      <c r="A21" s="34">
        <v>35487</v>
      </c>
      <c r="B21" s="64">
        <v>5.642325573757613</v>
      </c>
      <c r="C21" s="74">
        <v>20</v>
      </c>
      <c r="D21" s="64">
        <v>5.642325573757613</v>
      </c>
      <c r="E21" s="74">
        <v>20</v>
      </c>
      <c r="F21" s="64">
        <v>6.910695000976689</v>
      </c>
      <c r="G21" s="74">
        <v>20</v>
      </c>
      <c r="H21" s="64">
        <v>5.869356870066914</v>
      </c>
      <c r="I21" s="74">
        <v>20</v>
      </c>
      <c r="L21" t="s">
        <v>225</v>
      </c>
      <c r="N21" s="35" t="s">
        <v>146</v>
      </c>
    </row>
    <row r="22" spans="1:17" ht="12.75">
      <c r="A22" s="34">
        <v>35501</v>
      </c>
      <c r="B22" s="64">
        <v>7.372083056154704</v>
      </c>
      <c r="C22" s="74">
        <v>20</v>
      </c>
      <c r="D22" s="64">
        <v>6.203722798642502</v>
      </c>
      <c r="E22" s="74">
        <v>40</v>
      </c>
      <c r="F22" s="64">
        <v>6.140575527383056</v>
      </c>
      <c r="G22" s="74">
        <v>20</v>
      </c>
      <c r="H22" s="64">
        <v>6.812975023849755</v>
      </c>
      <c r="I22" s="74">
        <v>65</v>
      </c>
      <c r="M22" t="s">
        <v>101</v>
      </c>
      <c r="N22" s="268" t="s">
        <v>144</v>
      </c>
      <c r="O22" s="268"/>
      <c r="P22" s="268"/>
      <c r="Q22" s="268"/>
    </row>
    <row r="23" spans="1:17" ht="12.75">
      <c r="A23" s="34">
        <v>35537</v>
      </c>
      <c r="B23" s="64">
        <v>6.58656331845108</v>
      </c>
      <c r="C23" s="74">
        <v>20</v>
      </c>
      <c r="D23" s="64">
        <v>5.642325573757613</v>
      </c>
      <c r="E23" s="74">
        <v>20</v>
      </c>
      <c r="F23" s="64">
        <v>7.041623103277415</v>
      </c>
      <c r="G23" s="74">
        <v>20</v>
      </c>
      <c r="H23" s="64">
        <v>6.410257652035544</v>
      </c>
      <c r="I23" s="74">
        <f>0.0175*1000</f>
        <v>17.5</v>
      </c>
      <c r="M23" t="s">
        <v>140</v>
      </c>
      <c r="N23" s="75" t="s">
        <v>103</v>
      </c>
      <c r="O23" s="75" t="s">
        <v>226</v>
      </c>
      <c r="P23" s="75" t="s">
        <v>227</v>
      </c>
      <c r="Q23" s="76" t="s">
        <v>231</v>
      </c>
    </row>
    <row r="24" spans="1:17" ht="12.75">
      <c r="A24" s="34">
        <v>35577</v>
      </c>
      <c r="B24" s="64">
        <v>6.976068659246523</v>
      </c>
      <c r="C24" s="74">
        <v>20</v>
      </c>
      <c r="D24" s="64">
        <v>2.7857234519310734</v>
      </c>
      <c r="E24" s="74">
        <v>20</v>
      </c>
      <c r="F24" s="64">
        <v>5.037328084389702</v>
      </c>
      <c r="G24" s="74">
        <v>20</v>
      </c>
      <c r="H24" s="64">
        <v>7.041623103277415</v>
      </c>
      <c r="I24" s="74">
        <v>20</v>
      </c>
      <c r="L24" s="34">
        <v>35471</v>
      </c>
      <c r="M24" s="13">
        <v>134</v>
      </c>
      <c r="N24" s="61">
        <f>LN(M24)</f>
        <v>4.897839799950911</v>
      </c>
      <c r="O24" s="61">
        <f>1.72*N24</f>
        <v>8.424284455915567</v>
      </c>
      <c r="P24" s="61">
        <f>+O24-7.21</f>
        <v>1.2142844559155668</v>
      </c>
      <c r="Q24" s="61">
        <f>EXP(P24)</f>
        <v>3.367883332936231</v>
      </c>
    </row>
    <row r="25" spans="1:17" ht="12.75">
      <c r="A25" s="34">
        <v>35599</v>
      </c>
      <c r="B25" s="64">
        <v>3.9456976089443834</v>
      </c>
      <c r="C25" s="74">
        <v>20</v>
      </c>
      <c r="D25" s="64">
        <v>1.9987680402750256</v>
      </c>
      <c r="E25" s="74">
        <v>30</v>
      </c>
      <c r="F25" s="64">
        <v>4.281906945721976</v>
      </c>
      <c r="G25" s="74">
        <v>100</v>
      </c>
      <c r="H25" s="64">
        <v>4.381478464244387</v>
      </c>
      <c r="I25" s="74">
        <f>0.025*1000</f>
        <v>25</v>
      </c>
      <c r="L25" s="34">
        <v>35487</v>
      </c>
      <c r="M25" s="13">
        <v>133.67</v>
      </c>
      <c r="N25" s="61">
        <f aca="true" t="shared" si="4" ref="N25:N35">LN(M25)</f>
        <v>4.895374075983382</v>
      </c>
      <c r="O25" s="61">
        <f aca="true" t="shared" si="5" ref="O25:O35">1.72*N25</f>
        <v>8.420043410691417</v>
      </c>
      <c r="P25" s="61">
        <f aca="true" t="shared" si="6" ref="P25:P35">+O25-7.21</f>
        <v>1.2100434106914166</v>
      </c>
      <c r="Q25" s="61">
        <f aca="true" t="shared" si="7" ref="Q25:Q35">EXP(P25)</f>
        <v>3.353630232796293</v>
      </c>
    </row>
    <row r="26" spans="1:17" ht="12.75">
      <c r="A26" s="34">
        <v>35620.5</v>
      </c>
      <c r="B26" s="64">
        <v>3.4569075359553194</v>
      </c>
      <c r="C26" s="74">
        <v>40</v>
      </c>
      <c r="D26" s="64">
        <v>3.2982688367840014</v>
      </c>
      <c r="E26" s="74">
        <v>40</v>
      </c>
      <c r="F26" s="64">
        <v>5.889899864177526</v>
      </c>
      <c r="G26" s="74">
        <v>20</v>
      </c>
      <c r="H26" s="64">
        <v>3.4569075359553194</v>
      </c>
      <c r="I26" s="74">
        <v>20</v>
      </c>
      <c r="L26" s="34">
        <v>35501</v>
      </c>
      <c r="M26" s="13">
        <v>158.5</v>
      </c>
      <c r="N26" s="61">
        <f t="shared" si="4"/>
        <v>5.065754593317335</v>
      </c>
      <c r="O26" s="61">
        <f t="shared" si="5"/>
        <v>8.713097900505815</v>
      </c>
      <c r="P26" s="61">
        <f t="shared" si="6"/>
        <v>1.5030979005058152</v>
      </c>
      <c r="Q26" s="61">
        <f t="shared" si="7"/>
        <v>4.495594424757425</v>
      </c>
    </row>
    <row r="27" spans="1:17" ht="12.75">
      <c r="A27" s="34">
        <v>35654.520833333336</v>
      </c>
      <c r="B27" s="64">
        <v>3.5102718400906703</v>
      </c>
      <c r="C27" s="74">
        <v>20</v>
      </c>
      <c r="D27" s="64">
        <v>3.0902031418468687</v>
      </c>
      <c r="E27" s="74">
        <v>20</v>
      </c>
      <c r="F27" s="64">
        <v>4.338722495194019</v>
      </c>
      <c r="G27" s="74">
        <v>20</v>
      </c>
      <c r="H27" s="64">
        <v>3.5638759637961046</v>
      </c>
      <c r="I27" s="74">
        <v>20</v>
      </c>
      <c r="L27" s="34">
        <v>35537</v>
      </c>
      <c r="M27" s="13">
        <v>142.25</v>
      </c>
      <c r="N27" s="61">
        <f t="shared" si="4"/>
        <v>4.95758607300644</v>
      </c>
      <c r="O27" s="61">
        <f t="shared" si="5"/>
        <v>8.527048045571076</v>
      </c>
      <c r="P27" s="61">
        <f t="shared" si="6"/>
        <v>1.3170480455710765</v>
      </c>
      <c r="Q27" s="61">
        <f t="shared" si="7"/>
        <v>3.7323872620621827</v>
      </c>
    </row>
    <row r="28" spans="1:17" ht="12.75">
      <c r="A28" s="34">
        <v>35676.48263888889</v>
      </c>
      <c r="B28" s="64">
        <v>3.7261124686223632</v>
      </c>
      <c r="C28" s="74">
        <v>20</v>
      </c>
      <c r="D28" s="64">
        <v>3.4569075359553194</v>
      </c>
      <c r="E28" s="74">
        <v>20</v>
      </c>
      <c r="F28" s="64">
        <v>6.077618784016169</v>
      </c>
      <c r="G28" s="74">
        <v>100</v>
      </c>
      <c r="H28" s="64">
        <v>3.739727770722882</v>
      </c>
      <c r="I28" s="74">
        <v>20</v>
      </c>
      <c r="L28" s="34">
        <v>35577</v>
      </c>
      <c r="M28" s="11">
        <v>152</v>
      </c>
      <c r="N28" s="61">
        <f t="shared" si="4"/>
        <v>5.0238805208462765</v>
      </c>
      <c r="O28" s="61">
        <f t="shared" si="5"/>
        <v>8.641074495855595</v>
      </c>
      <c r="P28" s="61">
        <f t="shared" si="6"/>
        <v>1.4310744958555945</v>
      </c>
      <c r="Q28" s="61">
        <f t="shared" si="7"/>
        <v>4.183191599991447</v>
      </c>
    </row>
    <row r="29" spans="1:17" ht="12.75">
      <c r="A29" s="34">
        <v>35711.399305555555</v>
      </c>
      <c r="B29" s="64">
        <v>2.9876799245884103</v>
      </c>
      <c r="C29" s="74">
        <v>20</v>
      </c>
      <c r="D29" s="64">
        <v>4.05686690052124</v>
      </c>
      <c r="E29" s="74">
        <v>20</v>
      </c>
      <c r="F29" s="64">
        <v>7.372083056154704</v>
      </c>
      <c r="G29" s="74">
        <v>20</v>
      </c>
      <c r="H29" s="64">
        <v>3.7637261571381315</v>
      </c>
      <c r="I29" s="74">
        <v>20</v>
      </c>
      <c r="L29" s="34">
        <v>35599</v>
      </c>
      <c r="M29" s="13">
        <v>108.75</v>
      </c>
      <c r="N29" s="61">
        <f t="shared" si="4"/>
        <v>4.689051669968793</v>
      </c>
      <c r="O29" s="61">
        <f t="shared" si="5"/>
        <v>8.065168872346325</v>
      </c>
      <c r="P29" s="61">
        <f t="shared" si="6"/>
        <v>0.8551688723463249</v>
      </c>
      <c r="Q29" s="61">
        <f t="shared" si="7"/>
        <v>2.351771496213619</v>
      </c>
    </row>
    <row r="30" spans="1:17" ht="12.75">
      <c r="A30" s="34">
        <v>35753.43402777778</v>
      </c>
      <c r="B30" s="64">
        <v>4.684190903305726</v>
      </c>
      <c r="C30" s="74">
        <v>20</v>
      </c>
      <c r="D30" s="64">
        <v>3.835442557003892</v>
      </c>
      <c r="E30" s="74">
        <v>20</v>
      </c>
      <c r="F30" s="64">
        <v>6.522289375376809</v>
      </c>
      <c r="G30" s="74">
        <v>20</v>
      </c>
      <c r="H30" s="64">
        <v>4.801062755476187</v>
      </c>
      <c r="I30" s="74">
        <v>20</v>
      </c>
      <c r="L30" s="34">
        <v>35620.5</v>
      </c>
      <c r="M30" s="11">
        <v>92</v>
      </c>
      <c r="N30" s="61">
        <f t="shared" si="4"/>
        <v>4.5217885770490405</v>
      </c>
      <c r="O30" s="61">
        <f t="shared" si="5"/>
        <v>7.777476352524349</v>
      </c>
      <c r="P30" s="61">
        <f t="shared" si="6"/>
        <v>0.5674763525243494</v>
      </c>
      <c r="Q30" s="61">
        <f t="shared" si="7"/>
        <v>1.763810194885897</v>
      </c>
    </row>
    <row r="31" spans="1:17" ht="12.75">
      <c r="A31" s="34">
        <v>35782.572916666664</v>
      </c>
      <c r="B31" s="64">
        <v>4.626073902356507</v>
      </c>
      <c r="C31" s="74">
        <v>20</v>
      </c>
      <c r="D31" s="64">
        <v>4.225312389237063</v>
      </c>
      <c r="E31" s="74">
        <v>20</v>
      </c>
      <c r="F31" s="64">
        <v>6.014853378110049</v>
      </c>
      <c r="G31" s="74">
        <v>20</v>
      </c>
      <c r="H31" s="64">
        <v>4.859815458106412</v>
      </c>
      <c r="I31" s="74">
        <v>20</v>
      </c>
      <c r="L31" s="34">
        <v>35654.520833333336</v>
      </c>
      <c r="M31" s="13">
        <v>94</v>
      </c>
      <c r="N31" s="61">
        <f t="shared" si="4"/>
        <v>4.543294782270004</v>
      </c>
      <c r="O31" s="61">
        <f t="shared" si="5"/>
        <v>7.814467025504406</v>
      </c>
      <c r="P31" s="61">
        <f t="shared" si="6"/>
        <v>0.6044670255044062</v>
      </c>
      <c r="Q31" s="61">
        <f t="shared" si="7"/>
        <v>1.8302764582116469</v>
      </c>
    </row>
    <row r="32" spans="12:17" ht="12.75">
      <c r="L32" s="34">
        <v>35676.48263888889</v>
      </c>
      <c r="M32" s="11">
        <v>97.25</v>
      </c>
      <c r="N32" s="61">
        <f t="shared" si="4"/>
        <v>4.577284982498556</v>
      </c>
      <c r="O32" s="61">
        <f t="shared" si="5"/>
        <v>7.872930169897516</v>
      </c>
      <c r="P32" s="61">
        <f t="shared" si="6"/>
        <v>0.6629301698975159</v>
      </c>
      <c r="Q32" s="61">
        <f t="shared" si="7"/>
        <v>1.940469918739337</v>
      </c>
    </row>
    <row r="33" spans="2:17" ht="15.75">
      <c r="B33" s="62" t="s">
        <v>116</v>
      </c>
      <c r="C33" s="63" t="s">
        <v>107</v>
      </c>
      <c r="D33" s="35"/>
      <c r="E33" s="35" t="s">
        <v>146</v>
      </c>
      <c r="F33" s="35"/>
      <c r="G33" s="35"/>
      <c r="H33" s="35"/>
      <c r="I33" s="35"/>
      <c r="L33" s="34">
        <v>35711.399305555555</v>
      </c>
      <c r="M33" s="11">
        <v>97.67</v>
      </c>
      <c r="N33" s="61">
        <f t="shared" si="4"/>
        <v>4.581594449459386</v>
      </c>
      <c r="O33" s="61">
        <f t="shared" si="5"/>
        <v>7.880342453070144</v>
      </c>
      <c r="P33" s="61">
        <f t="shared" si="6"/>
        <v>0.6703424530701438</v>
      </c>
      <c r="Q33" s="61">
        <f t="shared" si="7"/>
        <v>1.9549066698099793</v>
      </c>
    </row>
    <row r="34" spans="2:17" ht="12.75">
      <c r="B34" s="269" t="s">
        <v>11</v>
      </c>
      <c r="C34" s="269"/>
      <c r="D34" s="269" t="s">
        <v>12</v>
      </c>
      <c r="E34" s="269"/>
      <c r="F34" s="269" t="s">
        <v>13</v>
      </c>
      <c r="G34" s="269"/>
      <c r="H34" s="269" t="s">
        <v>101</v>
      </c>
      <c r="I34" s="269"/>
      <c r="L34" s="34">
        <v>35753.43402777778</v>
      </c>
      <c r="M34" s="11">
        <v>116</v>
      </c>
      <c r="N34" s="61">
        <f t="shared" si="4"/>
        <v>4.7535901911063645</v>
      </c>
      <c r="O34" s="61">
        <f t="shared" si="5"/>
        <v>8.176175128702948</v>
      </c>
      <c r="P34" s="61">
        <f t="shared" si="6"/>
        <v>0.9661751287029476</v>
      </c>
      <c r="Q34" s="61">
        <f t="shared" si="7"/>
        <v>2.62787393281964</v>
      </c>
    </row>
    <row r="35" spans="2:17" ht="12.75">
      <c r="B35" s="66" t="s">
        <v>144</v>
      </c>
      <c r="C35" s="65" t="s">
        <v>117</v>
      </c>
      <c r="D35" s="66" t="s">
        <v>144</v>
      </c>
      <c r="E35" s="65" t="s">
        <v>117</v>
      </c>
      <c r="F35" s="66" t="s">
        <v>144</v>
      </c>
      <c r="G35" s="65" t="s">
        <v>117</v>
      </c>
      <c r="H35" s="66" t="s">
        <v>144</v>
      </c>
      <c r="I35" s="65" t="s">
        <v>117</v>
      </c>
      <c r="L35" s="71">
        <v>35782</v>
      </c>
      <c r="M35" s="1">
        <v>117</v>
      </c>
      <c r="N35" s="61">
        <f t="shared" si="4"/>
        <v>4.762173934797756</v>
      </c>
      <c r="O35" s="61">
        <f t="shared" si="5"/>
        <v>8.190939167852141</v>
      </c>
      <c r="P35" s="61">
        <f t="shared" si="6"/>
        <v>0.9809391678521413</v>
      </c>
      <c r="Q35" s="61">
        <f t="shared" si="7"/>
        <v>2.6669597890167265</v>
      </c>
    </row>
    <row r="36" spans="1:9" ht="12.75">
      <c r="A36" s="34">
        <v>35471</v>
      </c>
      <c r="B36" s="61"/>
      <c r="C36" s="35"/>
      <c r="D36" s="61"/>
      <c r="E36" s="35"/>
      <c r="F36" s="61"/>
      <c r="G36" s="35"/>
      <c r="H36" s="61"/>
      <c r="I36" s="35"/>
    </row>
    <row r="37" spans="1:12" ht="12.75">
      <c r="A37" s="34">
        <v>35487</v>
      </c>
      <c r="B37" s="61"/>
      <c r="C37" s="35"/>
      <c r="D37" s="61"/>
      <c r="E37" s="35" t="s">
        <v>121</v>
      </c>
      <c r="F37" s="61"/>
      <c r="G37" s="35"/>
      <c r="H37" s="61"/>
      <c r="I37" s="35"/>
      <c r="L37" t="s">
        <v>222</v>
      </c>
    </row>
    <row r="38" spans="1:9" ht="12.75">
      <c r="A38" s="34">
        <v>35501</v>
      </c>
      <c r="B38" s="61">
        <v>4.422666457838931</v>
      </c>
      <c r="C38" s="35">
        <v>2.5</v>
      </c>
      <c r="D38" s="64">
        <v>3.5869245533945278</v>
      </c>
      <c r="E38" s="35">
        <v>2.5</v>
      </c>
      <c r="F38" s="61">
        <v>3.5426546189313743</v>
      </c>
      <c r="G38" s="35">
        <v>2.5</v>
      </c>
      <c r="H38" s="64">
        <v>4.495594424757425</v>
      </c>
      <c r="I38" s="35">
        <v>2.5</v>
      </c>
    </row>
    <row r="39" spans="1:14" ht="14.25">
      <c r="A39" s="34">
        <v>35537</v>
      </c>
      <c r="B39" s="61"/>
      <c r="C39" s="35"/>
      <c r="D39" s="61"/>
      <c r="E39" s="35"/>
      <c r="F39" s="61"/>
      <c r="G39" s="35"/>
      <c r="H39" s="64"/>
      <c r="I39" s="35"/>
      <c r="L39" t="s">
        <v>228</v>
      </c>
      <c r="N39" s="35" t="s">
        <v>145</v>
      </c>
    </row>
    <row r="40" spans="1:17" ht="12.75">
      <c r="A40" s="34">
        <v>35577</v>
      </c>
      <c r="B40" s="61">
        <v>4.135967665356274</v>
      </c>
      <c r="C40" s="35">
        <v>2.5</v>
      </c>
      <c r="D40" s="64">
        <v>1.3572360372808119</v>
      </c>
      <c r="E40" s="74">
        <v>2.5</v>
      </c>
      <c r="F40" s="61">
        <v>2.7856626977461443</v>
      </c>
      <c r="G40" s="35">
        <v>2.5</v>
      </c>
      <c r="H40" s="64">
        <v>4.183191599991447</v>
      </c>
      <c r="I40" s="35">
        <v>2.5</v>
      </c>
      <c r="M40" t="s">
        <v>13</v>
      </c>
      <c r="N40" s="268" t="s">
        <v>144</v>
      </c>
      <c r="O40" s="268"/>
      <c r="P40" s="268"/>
      <c r="Q40" s="268"/>
    </row>
    <row r="41" spans="1:17" ht="12.75">
      <c r="A41" s="34">
        <v>35599</v>
      </c>
      <c r="B41" s="61"/>
      <c r="C41" s="35"/>
      <c r="D41" s="61"/>
      <c r="E41" s="35"/>
      <c r="F41" s="61"/>
      <c r="G41" s="35"/>
      <c r="H41" s="61"/>
      <c r="I41" s="35"/>
      <c r="M41" t="s">
        <v>140</v>
      </c>
      <c r="N41" s="75" t="s">
        <v>103</v>
      </c>
      <c r="O41" s="75" t="s">
        <v>226</v>
      </c>
      <c r="P41" s="75" t="s">
        <v>230</v>
      </c>
      <c r="Q41" s="76" t="s">
        <v>232</v>
      </c>
    </row>
    <row r="42" spans="1:17" ht="12.75">
      <c r="A42" s="34">
        <v>35620.5</v>
      </c>
      <c r="B42" s="61">
        <v>1.763810194885897</v>
      </c>
      <c r="C42" s="74">
        <v>2.5</v>
      </c>
      <c r="D42" s="64">
        <v>1.6660483350174005</v>
      </c>
      <c r="E42" s="74">
        <v>2.5</v>
      </c>
      <c r="F42" s="61">
        <v>3.367883332936231</v>
      </c>
      <c r="G42" s="35">
        <v>2.5</v>
      </c>
      <c r="H42" s="64">
        <v>1.763810194885897</v>
      </c>
      <c r="I42" s="74">
        <v>2.5</v>
      </c>
      <c r="L42" s="34">
        <v>35471</v>
      </c>
      <c r="M42" s="13">
        <v>154</v>
      </c>
      <c r="N42" s="61">
        <f>LN(M42)</f>
        <v>5.0369526024136295</v>
      </c>
      <c r="O42" s="61">
        <f>1.72*N42</f>
        <v>8.663558476151442</v>
      </c>
      <c r="P42" s="61">
        <f>+O42-9.06</f>
        <v>-0.3964415238485586</v>
      </c>
      <c r="Q42" s="61">
        <f>EXP(P42)</f>
        <v>0.6727096130203131</v>
      </c>
    </row>
    <row r="43" spans="1:17" ht="12.75">
      <c r="A43" s="34">
        <v>35654.520833333336</v>
      </c>
      <c r="B43" s="61"/>
      <c r="C43" s="35"/>
      <c r="D43" s="61"/>
      <c r="E43" s="35"/>
      <c r="F43" s="61"/>
      <c r="G43" s="35"/>
      <c r="H43" s="61"/>
      <c r="I43" s="35"/>
      <c r="L43" s="34">
        <v>35487</v>
      </c>
      <c r="M43" s="13">
        <v>150</v>
      </c>
      <c r="N43" s="61">
        <f aca="true" t="shared" si="8" ref="N43:N53">LN(M43)</f>
        <v>5.0106352940962555</v>
      </c>
      <c r="O43" s="61">
        <f aca="true" t="shared" si="9" ref="O43:O53">1.72*N43</f>
        <v>8.61829270584556</v>
      </c>
      <c r="P43" s="61">
        <f aca="true" t="shared" si="10" ref="P43:P53">+O43-9.06</f>
        <v>-0.44170729415444043</v>
      </c>
      <c r="Q43" s="61">
        <f aca="true" t="shared" si="11" ref="Q43:Q53">EXP(P43)</f>
        <v>0.6429377995680847</v>
      </c>
    </row>
    <row r="44" spans="1:17" ht="12.75">
      <c r="A44" s="34">
        <v>35676.48263888889</v>
      </c>
      <c r="B44" s="61"/>
      <c r="C44" s="35"/>
      <c r="D44" s="61"/>
      <c r="E44" s="35"/>
      <c r="F44" s="61"/>
      <c r="G44" s="35"/>
      <c r="H44" s="61"/>
      <c r="I44" s="35"/>
      <c r="L44" s="34">
        <v>35501</v>
      </c>
      <c r="M44" s="13">
        <v>138</v>
      </c>
      <c r="N44" s="61">
        <f t="shared" si="8"/>
        <v>4.927253685157205</v>
      </c>
      <c r="O44" s="61">
        <f t="shared" si="9"/>
        <v>8.474876338470393</v>
      </c>
      <c r="P44" s="61">
        <f t="shared" si="10"/>
        <v>-0.5851236615296074</v>
      </c>
      <c r="Q44" s="61">
        <f t="shared" si="11"/>
        <v>0.5570369735086532</v>
      </c>
    </row>
    <row r="45" spans="1:17" ht="12.75">
      <c r="A45" s="34">
        <v>35711.399305555555</v>
      </c>
      <c r="B45" s="61">
        <v>1.4775803414122959</v>
      </c>
      <c r="C45" s="74">
        <v>2.5</v>
      </c>
      <c r="D45" s="64">
        <v>2.141986907556422</v>
      </c>
      <c r="E45" s="74">
        <v>2.5</v>
      </c>
      <c r="F45" s="61">
        <v>4.422666457838931</v>
      </c>
      <c r="G45" s="35">
        <v>2.5</v>
      </c>
      <c r="H45" s="64">
        <v>1.9549066698099793</v>
      </c>
      <c r="I45" s="74">
        <v>2.5</v>
      </c>
      <c r="L45" s="34">
        <v>35537</v>
      </c>
      <c r="M45" s="13">
        <v>152</v>
      </c>
      <c r="N45" s="61">
        <f t="shared" si="8"/>
        <v>5.0238805208462765</v>
      </c>
      <c r="O45" s="61">
        <f t="shared" si="9"/>
        <v>8.641074495855595</v>
      </c>
      <c r="P45" s="61">
        <f t="shared" si="10"/>
        <v>-0.418925504144406</v>
      </c>
      <c r="Q45" s="61">
        <f t="shared" si="11"/>
        <v>0.6577531933296248</v>
      </c>
    </row>
    <row r="46" spans="1:17" ht="12.75">
      <c r="A46" s="34">
        <v>35753.43402777778</v>
      </c>
      <c r="B46" s="61"/>
      <c r="C46" s="35"/>
      <c r="D46" s="61"/>
      <c r="E46" s="35"/>
      <c r="F46" s="61"/>
      <c r="G46" s="35"/>
      <c r="H46" s="61"/>
      <c r="I46" s="35"/>
      <c r="L46" s="34">
        <v>35577</v>
      </c>
      <c r="M46" s="11">
        <v>120</v>
      </c>
      <c r="N46" s="61">
        <f t="shared" si="8"/>
        <v>4.787491742782046</v>
      </c>
      <c r="O46" s="61">
        <f t="shared" si="9"/>
        <v>8.23448579758512</v>
      </c>
      <c r="P46" s="61">
        <f t="shared" si="10"/>
        <v>-0.8255142024148814</v>
      </c>
      <c r="Q46" s="61">
        <f t="shared" si="11"/>
        <v>0.43800970889917884</v>
      </c>
    </row>
    <row r="47" spans="1:17" ht="12.75">
      <c r="A47" s="34">
        <v>35782.572916666664</v>
      </c>
      <c r="B47" s="61"/>
      <c r="C47" s="35"/>
      <c r="D47" s="61"/>
      <c r="E47" s="35"/>
      <c r="F47" s="61"/>
      <c r="G47" s="35"/>
      <c r="H47" s="61"/>
      <c r="I47" s="35"/>
      <c r="L47" s="34">
        <v>35599</v>
      </c>
      <c r="M47" s="13">
        <v>107</v>
      </c>
      <c r="N47" s="61">
        <f t="shared" si="8"/>
        <v>4.672828834461906</v>
      </c>
      <c r="O47" s="61">
        <f t="shared" si="9"/>
        <v>8.037265595274478</v>
      </c>
      <c r="P47" s="61">
        <f t="shared" si="10"/>
        <v>-1.0227344047255222</v>
      </c>
      <c r="Q47" s="61">
        <f t="shared" si="11"/>
        <v>0.3596102745154095</v>
      </c>
    </row>
    <row r="48" spans="12:17" ht="12.75">
      <c r="L48" s="34">
        <v>35620.5</v>
      </c>
      <c r="M48" s="11">
        <v>134</v>
      </c>
      <c r="N48" s="61">
        <f t="shared" si="8"/>
        <v>4.897839799950911</v>
      </c>
      <c r="O48" s="61">
        <f t="shared" si="9"/>
        <v>8.424284455915567</v>
      </c>
      <c r="P48" s="61">
        <f t="shared" si="10"/>
        <v>-0.6357155440844338</v>
      </c>
      <c r="Q48" s="61">
        <f t="shared" si="11"/>
        <v>0.5295564317457884</v>
      </c>
    </row>
    <row r="49" spans="2:17" ht="15.75">
      <c r="B49" s="62" t="s">
        <v>116</v>
      </c>
      <c r="C49" s="63" t="s">
        <v>109</v>
      </c>
      <c r="D49" s="35"/>
      <c r="E49" s="35" t="s">
        <v>145</v>
      </c>
      <c r="F49" s="35"/>
      <c r="G49" s="35"/>
      <c r="H49" s="35"/>
      <c r="I49" s="35"/>
      <c r="L49" s="34">
        <v>35654.520833333336</v>
      </c>
      <c r="M49" s="13">
        <v>108</v>
      </c>
      <c r="N49" s="61">
        <f t="shared" si="8"/>
        <v>4.68213122712422</v>
      </c>
      <c r="O49" s="61">
        <f t="shared" si="9"/>
        <v>8.053265710653658</v>
      </c>
      <c r="P49" s="61">
        <f t="shared" si="10"/>
        <v>-1.0067342893463422</v>
      </c>
      <c r="Q49" s="61">
        <f t="shared" si="11"/>
        <v>0.36541035766261293</v>
      </c>
    </row>
    <row r="50" spans="2:17" ht="12.75">
      <c r="B50" s="269" t="s">
        <v>11</v>
      </c>
      <c r="C50" s="269"/>
      <c r="D50" s="269" t="s">
        <v>12</v>
      </c>
      <c r="E50" s="269"/>
      <c r="F50" s="269" t="s">
        <v>13</v>
      </c>
      <c r="G50" s="269"/>
      <c r="H50" s="269" t="s">
        <v>101</v>
      </c>
      <c r="I50" s="269"/>
      <c r="L50" s="34">
        <v>35676.48263888889</v>
      </c>
      <c r="M50" s="11">
        <v>137</v>
      </c>
      <c r="N50" s="61">
        <f t="shared" si="8"/>
        <v>4.919980925828125</v>
      </c>
      <c r="O50" s="61">
        <f t="shared" si="9"/>
        <v>8.462367192424376</v>
      </c>
      <c r="P50" s="61">
        <f t="shared" si="10"/>
        <v>-0.597632807575625</v>
      </c>
      <c r="Q50" s="61">
        <f t="shared" si="11"/>
        <v>0.550112317715863</v>
      </c>
    </row>
    <row r="51" spans="2:17" ht="12.75">
      <c r="B51" s="66" t="s">
        <v>144</v>
      </c>
      <c r="C51" s="65" t="s">
        <v>117</v>
      </c>
      <c r="D51" s="66" t="s">
        <v>144</v>
      </c>
      <c r="E51" s="65" t="s">
        <v>117</v>
      </c>
      <c r="F51" s="66" t="s">
        <v>144</v>
      </c>
      <c r="G51" s="65" t="s">
        <v>117</v>
      </c>
      <c r="H51" s="66" t="s">
        <v>144</v>
      </c>
      <c r="I51" s="65" t="s">
        <v>117</v>
      </c>
      <c r="L51" s="34">
        <v>35711.399305555555</v>
      </c>
      <c r="M51" s="11">
        <v>157</v>
      </c>
      <c r="N51" s="61">
        <f t="shared" si="8"/>
        <v>5.056245805348308</v>
      </c>
      <c r="O51" s="61">
        <f t="shared" si="9"/>
        <v>8.696742785199088</v>
      </c>
      <c r="P51" s="61">
        <f t="shared" si="10"/>
        <v>-0.3632572148009121</v>
      </c>
      <c r="Q51" s="61">
        <f t="shared" si="11"/>
        <v>0.695407541380922</v>
      </c>
    </row>
    <row r="52" spans="1:17" ht="12.75">
      <c r="A52" s="34">
        <v>35471</v>
      </c>
      <c r="C52" s="35"/>
      <c r="D52" s="64"/>
      <c r="E52" s="35"/>
      <c r="F52" s="64"/>
      <c r="G52" s="35"/>
      <c r="H52" s="64"/>
      <c r="I52" s="35"/>
      <c r="L52" s="34">
        <v>35753.43402777778</v>
      </c>
      <c r="M52" s="11">
        <v>144</v>
      </c>
      <c r="N52" s="61">
        <f t="shared" si="8"/>
        <v>4.969813299576001</v>
      </c>
      <c r="O52" s="61">
        <f t="shared" si="9"/>
        <v>8.548078875270722</v>
      </c>
      <c r="P52" s="61">
        <f t="shared" si="10"/>
        <v>-0.5119211247292785</v>
      </c>
      <c r="Q52" s="61">
        <f t="shared" si="11"/>
        <v>0.5993430593272979</v>
      </c>
    </row>
    <row r="53" spans="1:17" ht="12.75">
      <c r="A53" s="34">
        <v>35487</v>
      </c>
      <c r="B53" s="35"/>
      <c r="C53" s="35"/>
      <c r="D53" s="64"/>
      <c r="E53" s="35" t="s">
        <v>121</v>
      </c>
      <c r="F53" s="64"/>
      <c r="G53" s="35"/>
      <c r="H53" s="64"/>
      <c r="I53" s="35"/>
      <c r="L53" s="71">
        <v>35782</v>
      </c>
      <c r="M53" s="1">
        <v>136</v>
      </c>
      <c r="N53" s="61">
        <f t="shared" si="8"/>
        <v>4.912654885736052</v>
      </c>
      <c r="O53" s="61">
        <f t="shared" si="9"/>
        <v>8.44976640346601</v>
      </c>
      <c r="P53" s="61">
        <f t="shared" si="10"/>
        <v>-0.6102335965339911</v>
      </c>
      <c r="Q53" s="61">
        <f t="shared" si="11"/>
        <v>0.5432239590181946</v>
      </c>
    </row>
    <row r="54" spans="1:9" ht="12.75">
      <c r="A54" s="34">
        <v>35501</v>
      </c>
      <c r="B54" s="64">
        <v>0.695407541380922</v>
      </c>
      <c r="C54" s="74">
        <v>2.5</v>
      </c>
      <c r="D54" s="64">
        <v>0.5639978525565296</v>
      </c>
      <c r="E54" s="74">
        <v>2.5</v>
      </c>
      <c r="F54" s="64">
        <v>0.5570369735086532</v>
      </c>
      <c r="G54" s="74">
        <v>2.5</v>
      </c>
      <c r="H54" s="64">
        <v>0.7068745282441999</v>
      </c>
      <c r="I54" s="74">
        <v>2.5</v>
      </c>
    </row>
    <row r="55" spans="1:9" ht="12.75">
      <c r="A55" s="34">
        <v>35537</v>
      </c>
      <c r="B55" s="64"/>
      <c r="C55" s="35"/>
      <c r="D55" s="64"/>
      <c r="E55" s="35"/>
      <c r="F55" s="64"/>
      <c r="G55" s="35"/>
      <c r="H55" s="64"/>
      <c r="I55" s="35"/>
    </row>
    <row r="56" spans="1:9" ht="12.75">
      <c r="A56" s="34">
        <v>35577</v>
      </c>
      <c r="B56" s="64">
        <v>0.6503278356654103</v>
      </c>
      <c r="C56" s="74">
        <v>2.5</v>
      </c>
      <c r="D56" s="64">
        <v>0.2134079485207718</v>
      </c>
      <c r="E56" s="74">
        <v>2.5</v>
      </c>
      <c r="F56" s="64">
        <v>0.43800970889917884</v>
      </c>
      <c r="G56" s="74">
        <v>2.5</v>
      </c>
      <c r="H56" s="64">
        <v>0.6577531933296248</v>
      </c>
      <c r="I56" s="74">
        <v>2.5</v>
      </c>
    </row>
    <row r="57" spans="1:9" ht="12.75">
      <c r="A57" s="34">
        <v>35599</v>
      </c>
      <c r="B57" s="64"/>
      <c r="C57" s="35"/>
      <c r="D57" s="64"/>
      <c r="E57" s="35"/>
      <c r="F57" s="64"/>
      <c r="G57" s="35"/>
      <c r="H57" s="64"/>
      <c r="I57" s="35"/>
    </row>
    <row r="58" spans="1:9" ht="12.75">
      <c r="A58" s="34">
        <v>35620.5</v>
      </c>
      <c r="B58" s="64">
        <v>0.2773365169589456</v>
      </c>
      <c r="C58" s="74">
        <v>2.5</v>
      </c>
      <c r="D58" s="64">
        <v>0.26196471913967323</v>
      </c>
      <c r="E58" s="74">
        <v>2.5</v>
      </c>
      <c r="F58" s="64">
        <v>0.5295564317457884</v>
      </c>
      <c r="G58" s="74">
        <v>2.5</v>
      </c>
      <c r="H58" s="64">
        <v>0.2773365169589456</v>
      </c>
      <c r="I58" s="74">
        <v>2.5</v>
      </c>
    </row>
    <row r="59" spans="1:9" ht="12.75">
      <c r="A59" s="34">
        <v>35654.520833333336</v>
      </c>
      <c r="B59" s="64"/>
      <c r="C59" s="35"/>
      <c r="D59" s="64"/>
      <c r="E59" s="35"/>
      <c r="F59" s="64"/>
      <c r="G59" s="35"/>
      <c r="H59" s="64"/>
      <c r="I59" s="35"/>
    </row>
    <row r="60" spans="1:9" ht="12.75">
      <c r="A60" s="34">
        <v>35676.48263888889</v>
      </c>
      <c r="B60" s="64"/>
      <c r="C60" s="35"/>
      <c r="D60" s="64"/>
      <c r="E60" s="35"/>
      <c r="F60" s="64"/>
      <c r="G60" s="35"/>
      <c r="H60" s="64"/>
      <c r="I60" s="35"/>
    </row>
    <row r="61" spans="1:14" ht="12.75">
      <c r="A61" s="34">
        <v>35711.399305555555</v>
      </c>
      <c r="B61" s="64">
        <v>0.2323305458843917</v>
      </c>
      <c r="C61" s="74">
        <v>2.5</v>
      </c>
      <c r="D61" s="64">
        <v>0.3367999516250619</v>
      </c>
      <c r="E61" s="74">
        <v>2.5</v>
      </c>
      <c r="F61" s="64">
        <v>0.695407541380922</v>
      </c>
      <c r="G61" s="74">
        <v>2.5</v>
      </c>
      <c r="H61" s="64">
        <v>0.30738398516853144</v>
      </c>
      <c r="I61" s="74">
        <v>2.5</v>
      </c>
      <c r="N61" s="35"/>
    </row>
    <row r="62" spans="1:17" ht="12.75">
      <c r="A62" s="34">
        <v>35753.43402777778</v>
      </c>
      <c r="B62" s="35"/>
      <c r="C62" s="35"/>
      <c r="D62" s="64"/>
      <c r="E62" s="35"/>
      <c r="F62" s="64"/>
      <c r="G62" s="35"/>
      <c r="H62" s="64"/>
      <c r="I62" s="35"/>
      <c r="N62" s="268"/>
      <c r="O62" s="268"/>
      <c r="P62" s="268"/>
      <c r="Q62" s="268"/>
    </row>
    <row r="63" spans="1:17" ht="12.75">
      <c r="A63" s="34">
        <v>35782.572916666664</v>
      </c>
      <c r="B63" s="35"/>
      <c r="C63" s="35"/>
      <c r="D63" s="64"/>
      <c r="E63" s="35"/>
      <c r="F63" s="64"/>
      <c r="G63" s="35"/>
      <c r="H63" s="64"/>
      <c r="I63" s="35"/>
      <c r="N63" s="73"/>
      <c r="O63" s="73"/>
      <c r="P63" s="73"/>
      <c r="Q63" s="35"/>
    </row>
    <row r="64" spans="12:17" ht="12.75">
      <c r="L64" s="34"/>
      <c r="M64" s="13"/>
      <c r="N64" s="61"/>
      <c r="O64" s="61"/>
      <c r="P64" s="61"/>
      <c r="Q64" s="61"/>
    </row>
    <row r="65" spans="12:17" ht="12.75">
      <c r="L65" s="34"/>
      <c r="M65" s="13"/>
      <c r="N65" s="61"/>
      <c r="O65" s="61"/>
      <c r="P65" s="61"/>
      <c r="Q65" s="61"/>
    </row>
    <row r="66" spans="12:17" ht="12.75">
      <c r="L66" s="34"/>
      <c r="M66" s="13"/>
      <c r="N66" s="61"/>
      <c r="O66" s="61"/>
      <c r="P66" s="61"/>
      <c r="Q66" s="61"/>
    </row>
    <row r="67" spans="1:17" ht="12.75">
      <c r="A67" s="11" t="s">
        <v>99</v>
      </c>
      <c r="B67" s="30" t="s">
        <v>100</v>
      </c>
      <c r="C67" s="13"/>
      <c r="E67" s="13"/>
      <c r="G67" s="13"/>
      <c r="H67" s="13"/>
      <c r="I67" s="13"/>
      <c r="L67" s="34"/>
      <c r="M67" s="13"/>
      <c r="N67" s="61"/>
      <c r="O67" s="61"/>
      <c r="P67" s="61"/>
      <c r="Q67" s="61"/>
    </row>
    <row r="68" spans="2:17" ht="12.75">
      <c r="B68" s="13" t="s">
        <v>11</v>
      </c>
      <c r="C68" s="13" t="s">
        <v>12</v>
      </c>
      <c r="D68" s="13" t="s">
        <v>13</v>
      </c>
      <c r="E68" s="13" t="s">
        <v>101</v>
      </c>
      <c r="L68" s="34"/>
      <c r="M68" s="11"/>
      <c r="N68" s="61"/>
      <c r="O68" s="61"/>
      <c r="P68" s="61"/>
      <c r="Q68" s="61"/>
    </row>
    <row r="69" spans="1:17" ht="12.75">
      <c r="A69" s="67">
        <v>35471</v>
      </c>
      <c r="B69" s="15">
        <f>287/2</f>
        <v>143.5</v>
      </c>
      <c r="C69" s="13">
        <v>119</v>
      </c>
      <c r="D69" s="21">
        <v>154</v>
      </c>
      <c r="E69" s="13">
        <v>134</v>
      </c>
      <c r="L69" s="34"/>
      <c r="M69" s="13"/>
      <c r="N69" s="61"/>
      <c r="O69" s="61"/>
      <c r="P69" s="61"/>
      <c r="Q69" s="61"/>
    </row>
    <row r="70" spans="1:17" ht="12.75">
      <c r="A70" s="68">
        <v>35487</v>
      </c>
      <c r="B70" s="15">
        <v>130</v>
      </c>
      <c r="C70" s="13">
        <v>130</v>
      </c>
      <c r="D70" s="21">
        <v>150</v>
      </c>
      <c r="E70" s="13">
        <v>133.67</v>
      </c>
      <c r="L70" s="34"/>
      <c r="M70" s="11"/>
      <c r="N70" s="61"/>
      <c r="O70" s="61"/>
      <c r="P70" s="61"/>
      <c r="Q70" s="61"/>
    </row>
    <row r="71" spans="1:17" ht="12.75">
      <c r="A71" s="68">
        <v>35501</v>
      </c>
      <c r="B71" s="15">
        <v>157</v>
      </c>
      <c r="C71" s="13">
        <v>139</v>
      </c>
      <c r="D71" s="21">
        <v>138</v>
      </c>
      <c r="E71" s="13">
        <v>148.5</v>
      </c>
      <c r="L71" s="34"/>
      <c r="M71" s="13"/>
      <c r="N71" s="61"/>
      <c r="O71" s="61"/>
      <c r="P71" s="61"/>
      <c r="Q71" s="61"/>
    </row>
    <row r="72" spans="1:17" ht="12.75">
      <c r="A72" s="69">
        <v>35537</v>
      </c>
      <c r="B72" s="16">
        <v>145</v>
      </c>
      <c r="C72" s="13">
        <v>130</v>
      </c>
      <c r="D72" s="21">
        <v>152</v>
      </c>
      <c r="E72" s="13">
        <v>142.25</v>
      </c>
      <c r="L72" s="34"/>
      <c r="M72" s="11"/>
      <c r="N72" s="61"/>
      <c r="O72" s="61"/>
      <c r="P72" s="61"/>
      <c r="Q72" s="61"/>
    </row>
    <row r="73" spans="1:17" ht="12.75">
      <c r="A73" s="69">
        <v>35577</v>
      </c>
      <c r="B73" s="15">
        <v>151</v>
      </c>
      <c r="C73" s="11">
        <v>79</v>
      </c>
      <c r="D73" s="15">
        <v>120</v>
      </c>
      <c r="E73" s="11">
        <v>152</v>
      </c>
      <c r="L73" s="34"/>
      <c r="M73" s="11"/>
      <c r="N73" s="61"/>
      <c r="O73" s="61"/>
      <c r="P73" s="61"/>
      <c r="Q73" s="61"/>
    </row>
    <row r="74" spans="1:17" ht="12.75">
      <c r="A74" s="69">
        <v>35599</v>
      </c>
      <c r="B74" s="15">
        <v>101</v>
      </c>
      <c r="C74" s="11">
        <f>125/2</f>
        <v>62.5</v>
      </c>
      <c r="D74" s="15">
        <v>107</v>
      </c>
      <c r="E74" s="13">
        <v>108.75</v>
      </c>
      <c r="L74" s="34"/>
      <c r="M74" s="11"/>
      <c r="N74" s="61"/>
      <c r="O74" s="61"/>
      <c r="P74" s="61"/>
      <c r="Q74" s="61"/>
    </row>
    <row r="75" spans="1:17" ht="12.75">
      <c r="A75" s="70">
        <v>35620.5</v>
      </c>
      <c r="B75" s="15">
        <f>184/2</f>
        <v>92</v>
      </c>
      <c r="C75" s="11">
        <v>89</v>
      </c>
      <c r="D75" s="15">
        <v>134</v>
      </c>
      <c r="E75" s="11">
        <v>92</v>
      </c>
      <c r="L75" s="71"/>
      <c r="M75" s="1"/>
      <c r="N75" s="61"/>
      <c r="O75" s="61"/>
      <c r="P75" s="61"/>
      <c r="Q75" s="61"/>
    </row>
    <row r="76" spans="1:5" ht="12.75">
      <c r="A76" s="70">
        <v>35654.520833333336</v>
      </c>
      <c r="B76" s="15">
        <v>93</v>
      </c>
      <c r="C76" s="11">
        <v>85</v>
      </c>
      <c r="D76" s="15">
        <v>108</v>
      </c>
      <c r="E76" s="13">
        <v>94</v>
      </c>
    </row>
    <row r="77" spans="1:5" ht="12.75">
      <c r="A77" s="70">
        <v>35676.48263888889</v>
      </c>
      <c r="B77" s="15">
        <v>97</v>
      </c>
      <c r="C77" s="11">
        <v>92</v>
      </c>
      <c r="D77" s="15">
        <v>137</v>
      </c>
      <c r="E77" s="11">
        <v>97.25</v>
      </c>
    </row>
    <row r="78" spans="1:5" ht="12.75">
      <c r="A78" s="70">
        <v>35711.399305555555</v>
      </c>
      <c r="B78" s="15">
        <v>83</v>
      </c>
      <c r="C78" s="11">
        <v>103</v>
      </c>
      <c r="D78" s="15">
        <v>157</v>
      </c>
      <c r="E78" s="11">
        <v>97.67</v>
      </c>
    </row>
    <row r="79" spans="1:5" ht="12.75">
      <c r="A79" s="70">
        <v>35753.43402777778</v>
      </c>
      <c r="B79" s="15">
        <v>114</v>
      </c>
      <c r="C79" s="11">
        <v>99</v>
      </c>
      <c r="D79" s="15">
        <v>144</v>
      </c>
      <c r="E79" s="11">
        <v>116</v>
      </c>
    </row>
    <row r="80" spans="1:5" ht="12.75">
      <c r="A80" s="70">
        <v>35782.572916666664</v>
      </c>
      <c r="B80" s="15">
        <v>113</v>
      </c>
      <c r="C80" s="11">
        <v>106</v>
      </c>
      <c r="D80" s="15">
        <f>272/2</f>
        <v>136</v>
      </c>
      <c r="E80" s="11">
        <v>117</v>
      </c>
    </row>
    <row r="83" spans="1:10" ht="12.75">
      <c r="A83" t="s">
        <v>98</v>
      </c>
      <c r="B83" s="267" t="s">
        <v>219</v>
      </c>
      <c r="C83" s="267"/>
      <c r="D83" s="267"/>
      <c r="E83" s="267" t="s">
        <v>220</v>
      </c>
      <c r="F83" s="267"/>
      <c r="G83" s="267"/>
      <c r="H83" s="271" t="s">
        <v>221</v>
      </c>
      <c r="I83" s="271"/>
      <c r="J83" s="271"/>
    </row>
    <row r="84" spans="2:10" ht="12.75">
      <c r="B84" t="s">
        <v>217</v>
      </c>
      <c r="E84" t="s">
        <v>41</v>
      </c>
      <c r="H84" s="72" t="s">
        <v>41</v>
      </c>
      <c r="I84" s="72" t="s">
        <v>218</v>
      </c>
      <c r="J84" s="72"/>
    </row>
    <row r="85" spans="2:10" ht="12.75">
      <c r="B85" t="s">
        <v>108</v>
      </c>
      <c r="C85" t="s">
        <v>113</v>
      </c>
      <c r="D85" t="s">
        <v>116</v>
      </c>
      <c r="E85" t="s">
        <v>108</v>
      </c>
      <c r="F85" t="s">
        <v>113</v>
      </c>
      <c r="G85" t="s">
        <v>116</v>
      </c>
      <c r="H85" s="72" t="s">
        <v>108</v>
      </c>
      <c r="I85" s="72" t="s">
        <v>113</v>
      </c>
      <c r="J85" s="72" t="s">
        <v>116</v>
      </c>
    </row>
    <row r="86" spans="1:10" ht="12.75">
      <c r="A86" s="71">
        <v>35471</v>
      </c>
      <c r="B86">
        <v>-0.003</v>
      </c>
      <c r="C86">
        <v>-0.04</v>
      </c>
      <c r="E86">
        <f>+B86*1000</f>
        <v>-3</v>
      </c>
      <c r="F86">
        <f>+C86*1000</f>
        <v>-40</v>
      </c>
      <c r="G86">
        <f>+D86*1000</f>
        <v>0</v>
      </c>
      <c r="H86" s="72">
        <v>1.5</v>
      </c>
      <c r="I86" s="72">
        <v>20</v>
      </c>
      <c r="J86" s="72">
        <f aca="true" t="shared" si="12" ref="J86:J102">+G86/2</f>
        <v>0</v>
      </c>
    </row>
    <row r="87" spans="1:10" ht="12.75">
      <c r="A87" s="71">
        <v>35471</v>
      </c>
      <c r="B87">
        <v>-0.003</v>
      </c>
      <c r="C87">
        <v>-0.04</v>
      </c>
      <c r="E87">
        <f aca="true" t="shared" si="13" ref="E87:E102">+B87*1000</f>
        <v>-3</v>
      </c>
      <c r="F87">
        <f aca="true" t="shared" si="14" ref="F87:F102">+C87*1000</f>
        <v>-40</v>
      </c>
      <c r="G87">
        <f aca="true" t="shared" si="15" ref="G87:G102">+D87*1000</f>
        <v>0</v>
      </c>
      <c r="H87" s="72"/>
      <c r="I87" s="72"/>
      <c r="J87" s="72"/>
    </row>
    <row r="88" spans="1:10" ht="12.75">
      <c r="A88" s="71">
        <v>35487</v>
      </c>
      <c r="B88">
        <v>-0.003</v>
      </c>
      <c r="C88">
        <v>-0.04</v>
      </c>
      <c r="E88">
        <f t="shared" si="13"/>
        <v>-3</v>
      </c>
      <c r="F88">
        <f t="shared" si="14"/>
        <v>-40</v>
      </c>
      <c r="G88">
        <f t="shared" si="15"/>
        <v>0</v>
      </c>
      <c r="H88" s="72">
        <v>1.5</v>
      </c>
      <c r="I88" s="72">
        <v>20</v>
      </c>
      <c r="J88" s="72">
        <f t="shared" si="12"/>
        <v>0</v>
      </c>
    </row>
    <row r="89" spans="1:10" ht="12.75">
      <c r="A89" s="71">
        <v>35501</v>
      </c>
      <c r="B89">
        <v>-0.003</v>
      </c>
      <c r="C89">
        <v>-0.04</v>
      </c>
      <c r="D89">
        <v>-0.005</v>
      </c>
      <c r="E89">
        <f t="shared" si="13"/>
        <v>-3</v>
      </c>
      <c r="F89">
        <f t="shared" si="14"/>
        <v>-40</v>
      </c>
      <c r="G89">
        <f t="shared" si="15"/>
        <v>-5</v>
      </c>
      <c r="H89" s="72">
        <v>1.5</v>
      </c>
      <c r="I89" s="72">
        <v>20</v>
      </c>
      <c r="J89" s="72">
        <v>2.5</v>
      </c>
    </row>
    <row r="90" spans="1:10" ht="12.75">
      <c r="A90" s="71">
        <v>35537</v>
      </c>
      <c r="B90">
        <v>-0.003</v>
      </c>
      <c r="C90">
        <v>-0.04</v>
      </c>
      <c r="E90">
        <f t="shared" si="13"/>
        <v>-3</v>
      </c>
      <c r="F90">
        <f t="shared" si="14"/>
        <v>-40</v>
      </c>
      <c r="G90">
        <f t="shared" si="15"/>
        <v>0</v>
      </c>
      <c r="H90" s="72">
        <v>1.5</v>
      </c>
      <c r="I90" s="72">
        <v>20</v>
      </c>
      <c r="J90" s="72">
        <f t="shared" si="12"/>
        <v>0</v>
      </c>
    </row>
    <row r="91" spans="1:10" ht="12.75">
      <c r="A91" s="71">
        <v>35577</v>
      </c>
      <c r="B91">
        <v>0.003</v>
      </c>
      <c r="C91">
        <v>-0.04</v>
      </c>
      <c r="D91">
        <v>-0.005</v>
      </c>
      <c r="E91">
        <f t="shared" si="13"/>
        <v>3</v>
      </c>
      <c r="F91">
        <f t="shared" si="14"/>
        <v>-40</v>
      </c>
      <c r="G91">
        <f t="shared" si="15"/>
        <v>-5</v>
      </c>
      <c r="H91" s="72">
        <v>1.5</v>
      </c>
      <c r="I91" s="72">
        <v>20</v>
      </c>
      <c r="J91" s="72">
        <v>2.5</v>
      </c>
    </row>
    <row r="92" spans="1:10" ht="12.75">
      <c r="A92" s="71">
        <v>35599</v>
      </c>
      <c r="B92">
        <v>-0.003</v>
      </c>
      <c r="C92">
        <v>-0.04</v>
      </c>
      <c r="E92">
        <f t="shared" si="13"/>
        <v>-3</v>
      </c>
      <c r="F92">
        <f t="shared" si="14"/>
        <v>-40</v>
      </c>
      <c r="G92">
        <f t="shared" si="15"/>
        <v>0</v>
      </c>
      <c r="H92" s="72">
        <v>1.5</v>
      </c>
      <c r="I92" s="72">
        <v>20</v>
      </c>
      <c r="J92" s="72">
        <f t="shared" si="12"/>
        <v>0</v>
      </c>
    </row>
    <row r="93" spans="1:10" ht="12.75">
      <c r="A93" s="71">
        <v>35620</v>
      </c>
      <c r="B93">
        <v>-0.003</v>
      </c>
      <c r="C93">
        <v>-0.08</v>
      </c>
      <c r="D93">
        <v>-0.005</v>
      </c>
      <c r="E93">
        <f t="shared" si="13"/>
        <v>-3</v>
      </c>
      <c r="F93">
        <f t="shared" si="14"/>
        <v>-80</v>
      </c>
      <c r="G93">
        <f t="shared" si="15"/>
        <v>-5</v>
      </c>
      <c r="H93" s="72">
        <v>1.5</v>
      </c>
      <c r="I93" s="72">
        <v>40</v>
      </c>
      <c r="J93" s="72">
        <v>2.5</v>
      </c>
    </row>
    <row r="94" spans="1:10" ht="12.75">
      <c r="A94" s="71">
        <v>35620</v>
      </c>
      <c r="B94">
        <v>-0.003</v>
      </c>
      <c r="C94">
        <v>-0.08</v>
      </c>
      <c r="D94">
        <v>-0.005</v>
      </c>
      <c r="E94">
        <f t="shared" si="13"/>
        <v>-3</v>
      </c>
      <c r="F94">
        <f t="shared" si="14"/>
        <v>-80</v>
      </c>
      <c r="G94">
        <f t="shared" si="15"/>
        <v>-5</v>
      </c>
      <c r="H94" s="72"/>
      <c r="I94" s="72"/>
      <c r="J94" s="72"/>
    </row>
    <row r="95" spans="1:10" ht="12.75">
      <c r="A95" s="71">
        <v>35634</v>
      </c>
      <c r="E95">
        <f t="shared" si="13"/>
        <v>0</v>
      </c>
      <c r="F95">
        <f t="shared" si="14"/>
        <v>0</v>
      </c>
      <c r="G95">
        <f t="shared" si="15"/>
        <v>0</v>
      </c>
      <c r="H95" s="72">
        <f>+E95/2</f>
        <v>0</v>
      </c>
      <c r="I95" s="72">
        <f>+F95/2</f>
        <v>0</v>
      </c>
      <c r="J95" s="72">
        <f t="shared" si="12"/>
        <v>0</v>
      </c>
    </row>
    <row r="96" spans="1:10" ht="12.75">
      <c r="A96" s="71">
        <v>35654</v>
      </c>
      <c r="B96">
        <v>-0.003</v>
      </c>
      <c r="C96">
        <v>-0.04</v>
      </c>
      <c r="E96">
        <f t="shared" si="13"/>
        <v>-3</v>
      </c>
      <c r="F96">
        <f t="shared" si="14"/>
        <v>-40</v>
      </c>
      <c r="G96">
        <f t="shared" si="15"/>
        <v>0</v>
      </c>
      <c r="H96" s="72">
        <v>1.5</v>
      </c>
      <c r="I96" s="72">
        <v>20</v>
      </c>
      <c r="J96" s="72">
        <f t="shared" si="12"/>
        <v>0</v>
      </c>
    </row>
    <row r="97" spans="1:10" ht="12.75">
      <c r="A97" s="71">
        <v>35662</v>
      </c>
      <c r="E97">
        <f t="shared" si="13"/>
        <v>0</v>
      </c>
      <c r="F97">
        <f t="shared" si="14"/>
        <v>0</v>
      </c>
      <c r="G97">
        <f t="shared" si="15"/>
        <v>0</v>
      </c>
      <c r="H97" s="72">
        <f>+E97/2</f>
        <v>0</v>
      </c>
      <c r="I97" s="72">
        <f>+F97/2</f>
        <v>0</v>
      </c>
      <c r="J97" s="72">
        <f t="shared" si="12"/>
        <v>0</v>
      </c>
    </row>
    <row r="98" spans="1:10" ht="12.75">
      <c r="A98" s="71">
        <v>35676</v>
      </c>
      <c r="B98">
        <v>-0.003</v>
      </c>
      <c r="C98">
        <v>-0.04</v>
      </c>
      <c r="E98">
        <f t="shared" si="13"/>
        <v>-3</v>
      </c>
      <c r="F98">
        <f t="shared" si="14"/>
        <v>-40</v>
      </c>
      <c r="G98">
        <f t="shared" si="15"/>
        <v>0</v>
      </c>
      <c r="H98" s="72">
        <v>1.5</v>
      </c>
      <c r="I98" s="72">
        <v>20</v>
      </c>
      <c r="J98" s="72">
        <f t="shared" si="12"/>
        <v>0</v>
      </c>
    </row>
    <row r="99" spans="1:10" ht="12.75">
      <c r="A99" s="71">
        <v>35690</v>
      </c>
      <c r="E99">
        <f t="shared" si="13"/>
        <v>0</v>
      </c>
      <c r="F99">
        <f t="shared" si="14"/>
        <v>0</v>
      </c>
      <c r="G99">
        <f t="shared" si="15"/>
        <v>0</v>
      </c>
      <c r="H99" s="72">
        <f>+E99/2</f>
        <v>0</v>
      </c>
      <c r="I99" s="72">
        <f>+F99/2</f>
        <v>0</v>
      </c>
      <c r="J99" s="72">
        <f t="shared" si="12"/>
        <v>0</v>
      </c>
    </row>
    <row r="100" spans="1:10" ht="12.75">
      <c r="A100" s="71">
        <v>35711</v>
      </c>
      <c r="B100">
        <v>-0.003</v>
      </c>
      <c r="C100">
        <v>-0.04</v>
      </c>
      <c r="D100">
        <v>-0.005</v>
      </c>
      <c r="E100">
        <f t="shared" si="13"/>
        <v>-3</v>
      </c>
      <c r="F100">
        <f t="shared" si="14"/>
        <v>-40</v>
      </c>
      <c r="G100">
        <f t="shared" si="15"/>
        <v>-5</v>
      </c>
      <c r="H100" s="72">
        <v>1.5</v>
      </c>
      <c r="I100" s="72">
        <v>20</v>
      </c>
      <c r="J100" s="72">
        <v>2.5</v>
      </c>
    </row>
    <row r="101" spans="1:10" ht="12.75">
      <c r="A101" s="71">
        <v>35753</v>
      </c>
      <c r="B101">
        <v>-0.003</v>
      </c>
      <c r="C101">
        <v>-0.04</v>
      </c>
      <c r="E101">
        <f t="shared" si="13"/>
        <v>-3</v>
      </c>
      <c r="F101">
        <f t="shared" si="14"/>
        <v>-40</v>
      </c>
      <c r="G101">
        <f t="shared" si="15"/>
        <v>0</v>
      </c>
      <c r="H101" s="72">
        <v>1.5</v>
      </c>
      <c r="I101" s="72">
        <v>20</v>
      </c>
      <c r="J101" s="72">
        <f t="shared" si="12"/>
        <v>0</v>
      </c>
    </row>
    <row r="102" spans="1:10" ht="12.75">
      <c r="A102" s="71">
        <v>35782</v>
      </c>
      <c r="B102">
        <v>-0.003</v>
      </c>
      <c r="C102">
        <v>-0.04</v>
      </c>
      <c r="E102">
        <f t="shared" si="13"/>
        <v>-3</v>
      </c>
      <c r="F102">
        <f t="shared" si="14"/>
        <v>-40</v>
      </c>
      <c r="G102">
        <f t="shared" si="15"/>
        <v>0</v>
      </c>
      <c r="H102" s="72">
        <v>1.5</v>
      </c>
      <c r="I102" s="72">
        <v>20</v>
      </c>
      <c r="J102" s="72">
        <f t="shared" si="12"/>
        <v>0</v>
      </c>
    </row>
  </sheetData>
  <mergeCells count="23">
    <mergeCell ref="B83:D83"/>
    <mergeCell ref="E83:G83"/>
    <mergeCell ref="H83:J83"/>
    <mergeCell ref="N4:Q4"/>
    <mergeCell ref="N62:Q62"/>
    <mergeCell ref="N22:Q22"/>
    <mergeCell ref="N40:Q40"/>
    <mergeCell ref="H50:I50"/>
    <mergeCell ref="F50:G50"/>
    <mergeCell ref="D50:E50"/>
    <mergeCell ref="B50:C50"/>
    <mergeCell ref="H34:I34"/>
    <mergeCell ref="F34:G34"/>
    <mergeCell ref="D34:E34"/>
    <mergeCell ref="B34:C34"/>
    <mergeCell ref="H18:I18"/>
    <mergeCell ref="F18:G18"/>
    <mergeCell ref="D18:E18"/>
    <mergeCell ref="B18:C18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0"/>
  <sheetViews>
    <sheetView workbookViewId="0" topLeftCell="A245">
      <selection activeCell="B24" sqref="B24"/>
    </sheetView>
  </sheetViews>
  <sheetFormatPr defaultColWidth="9.140625" defaultRowHeight="12.75"/>
  <cols>
    <col min="1" max="1" width="9.140625" style="215" customWidth="1"/>
    <col min="2" max="2" width="9.8515625" style="215" customWidth="1"/>
    <col min="3" max="3" width="8.57421875" style="215" customWidth="1"/>
    <col min="4" max="4" width="10.00390625" style="215" customWidth="1"/>
    <col min="5" max="5" width="8.421875" style="215" customWidth="1"/>
    <col min="6" max="6" width="8.8515625" style="215" customWidth="1"/>
    <col min="7" max="7" width="8.421875" style="215" customWidth="1"/>
    <col min="8" max="8" width="9.57421875" style="215" customWidth="1"/>
    <col min="9" max="10" width="7.28125" style="215" customWidth="1"/>
    <col min="11" max="16384" width="9.140625" style="215" customWidth="1"/>
  </cols>
  <sheetData>
    <row r="1" ht="12">
      <c r="A1" s="215" t="s">
        <v>98</v>
      </c>
    </row>
    <row r="2" spans="1:14" ht="12">
      <c r="A2" s="215" t="s">
        <v>77</v>
      </c>
      <c r="B2" s="215" t="s">
        <v>78</v>
      </c>
      <c r="C2" s="215" t="s">
        <v>79</v>
      </c>
      <c r="D2" s="215" t="s">
        <v>80</v>
      </c>
      <c r="E2" s="215" t="s">
        <v>81</v>
      </c>
      <c r="F2" s="215" t="s">
        <v>82</v>
      </c>
      <c r="G2" s="215" t="s">
        <v>83</v>
      </c>
      <c r="H2" s="215" t="s">
        <v>84</v>
      </c>
      <c r="I2" s="215" t="s">
        <v>85</v>
      </c>
      <c r="J2" s="215" t="s">
        <v>92</v>
      </c>
      <c r="K2" s="215" t="s">
        <v>86</v>
      </c>
      <c r="L2" s="215" t="s">
        <v>87</v>
      </c>
      <c r="M2" s="215" t="s">
        <v>88</v>
      </c>
      <c r="N2" s="215" t="s">
        <v>89</v>
      </c>
    </row>
    <row r="3" spans="1:14" ht="12">
      <c r="A3" s="216">
        <v>0</v>
      </c>
      <c r="B3" s="215" t="s">
        <v>90</v>
      </c>
      <c r="C3" s="215" t="s">
        <v>91</v>
      </c>
      <c r="D3" s="215" t="s">
        <v>90</v>
      </c>
      <c r="E3" s="215" t="s">
        <v>90</v>
      </c>
      <c r="F3" s="215" t="s">
        <v>90</v>
      </c>
      <c r="G3" s="215" t="s">
        <v>91</v>
      </c>
      <c r="H3" s="215" t="s">
        <v>90</v>
      </c>
      <c r="I3" s="215" t="s">
        <v>90</v>
      </c>
      <c r="J3" s="215" t="s">
        <v>91</v>
      </c>
      <c r="K3" s="215" t="s">
        <v>91</v>
      </c>
      <c r="L3" s="215" t="s">
        <v>91</v>
      </c>
      <c r="M3" s="215" t="s">
        <v>91</v>
      </c>
      <c r="N3" s="215" t="s">
        <v>90</v>
      </c>
    </row>
    <row r="4" spans="1:14" ht="12">
      <c r="A4" s="216">
        <v>1</v>
      </c>
      <c r="B4" s="215" t="s">
        <v>90</v>
      </c>
      <c r="C4" s="215" t="s">
        <v>91</v>
      </c>
      <c r="D4" s="215" t="s">
        <v>90</v>
      </c>
      <c r="E4" s="215" t="s">
        <v>90</v>
      </c>
      <c r="F4" s="215" t="s">
        <v>90</v>
      </c>
      <c r="G4" s="215" t="s">
        <v>91</v>
      </c>
      <c r="H4" s="215" t="s">
        <v>90</v>
      </c>
      <c r="I4" s="215" t="s">
        <v>90</v>
      </c>
      <c r="J4" s="215" t="s">
        <v>91</v>
      </c>
      <c r="K4" s="215" t="s">
        <v>91</v>
      </c>
      <c r="L4" s="215" t="s">
        <v>91</v>
      </c>
      <c r="M4" s="215" t="s">
        <v>91</v>
      </c>
      <c r="N4" s="215" t="s">
        <v>90</v>
      </c>
    </row>
    <row r="5" spans="1:14" ht="12">
      <c r="A5" s="216">
        <v>2</v>
      </c>
      <c r="B5" s="215" t="s">
        <v>90</v>
      </c>
      <c r="C5" s="215" t="s">
        <v>91</v>
      </c>
      <c r="D5" s="215" t="s">
        <v>90</v>
      </c>
      <c r="E5" s="215" t="s">
        <v>90</v>
      </c>
      <c r="F5" s="215" t="s">
        <v>90</v>
      </c>
      <c r="G5" s="215" t="s">
        <v>91</v>
      </c>
      <c r="H5" s="215" t="s">
        <v>90</v>
      </c>
      <c r="I5" s="215" t="s">
        <v>90</v>
      </c>
      <c r="J5" s="215" t="s">
        <v>91</v>
      </c>
      <c r="K5" s="215" t="s">
        <v>91</v>
      </c>
      <c r="L5" s="215" t="s">
        <v>90</v>
      </c>
      <c r="M5" s="215" t="s">
        <v>91</v>
      </c>
      <c r="N5" s="215" t="s">
        <v>90</v>
      </c>
    </row>
    <row r="6" spans="1:14" ht="12">
      <c r="A6" s="216" t="s">
        <v>26</v>
      </c>
      <c r="B6" s="215" t="s">
        <v>90</v>
      </c>
      <c r="C6" s="215" t="s">
        <v>91</v>
      </c>
      <c r="D6" s="215" t="s">
        <v>90</v>
      </c>
      <c r="E6" s="215" t="s">
        <v>93</v>
      </c>
      <c r="F6" s="215" t="s">
        <v>93</v>
      </c>
      <c r="G6" s="215" t="s">
        <v>93</v>
      </c>
      <c r="H6" s="215" t="s">
        <v>91</v>
      </c>
      <c r="I6" s="215" t="s">
        <v>93</v>
      </c>
      <c r="J6" s="215" t="s">
        <v>90</v>
      </c>
      <c r="K6" s="215" t="s">
        <v>93</v>
      </c>
      <c r="L6" s="215" t="s">
        <v>91</v>
      </c>
      <c r="M6" s="215" t="s">
        <v>93</v>
      </c>
      <c r="N6" s="215" t="s">
        <v>93</v>
      </c>
    </row>
    <row r="7" spans="1:14" ht="12">
      <c r="A7" s="216">
        <v>7</v>
      </c>
      <c r="B7" s="215" t="s">
        <v>90</v>
      </c>
      <c r="C7" s="215" t="s">
        <v>91</v>
      </c>
      <c r="D7" s="215" t="s">
        <v>90</v>
      </c>
      <c r="E7" s="215" t="s">
        <v>90</v>
      </c>
      <c r="F7" s="215" t="s">
        <v>90</v>
      </c>
      <c r="G7" s="215" t="s">
        <v>91</v>
      </c>
      <c r="H7" s="215" t="s">
        <v>90</v>
      </c>
      <c r="I7" s="215" t="s">
        <v>90</v>
      </c>
      <c r="J7" s="215" t="s">
        <v>90</v>
      </c>
      <c r="K7" s="215" t="s">
        <v>91</v>
      </c>
      <c r="L7" s="215" t="s">
        <v>91</v>
      </c>
      <c r="M7" s="215" t="s">
        <v>91</v>
      </c>
      <c r="N7" s="215" t="s">
        <v>90</v>
      </c>
    </row>
    <row r="8" spans="1:12" ht="12">
      <c r="A8" s="215" t="s">
        <v>94</v>
      </c>
      <c r="E8" s="215" t="s">
        <v>90</v>
      </c>
      <c r="J8" s="215" t="s">
        <v>90</v>
      </c>
      <c r="L8" s="215" t="s">
        <v>90</v>
      </c>
    </row>
    <row r="10" ht="12">
      <c r="B10" s="215" t="s">
        <v>95</v>
      </c>
    </row>
    <row r="11" ht="12">
      <c r="B11" s="215" t="s">
        <v>96</v>
      </c>
    </row>
    <row r="12" ht="12">
      <c r="B12" s="215" t="s">
        <v>97</v>
      </c>
    </row>
    <row r="14" spans="2:10" ht="12">
      <c r="B14" s="216" t="s">
        <v>11</v>
      </c>
      <c r="C14" s="216" t="s">
        <v>12</v>
      </c>
      <c r="D14" s="216" t="s">
        <v>13</v>
      </c>
      <c r="E14" s="216" t="s">
        <v>101</v>
      </c>
      <c r="G14" s="15"/>
      <c r="H14" s="15"/>
      <c r="J14" s="15"/>
    </row>
    <row r="15" spans="1:10" ht="12">
      <c r="A15" s="215" t="s">
        <v>141</v>
      </c>
      <c r="B15" s="26">
        <v>101.77956910592775</v>
      </c>
      <c r="C15" s="26">
        <v>88.08711607775754</v>
      </c>
      <c r="D15" s="26">
        <v>125.63252019819218</v>
      </c>
      <c r="E15" s="26">
        <v>105.42771737364791</v>
      </c>
      <c r="G15" s="21"/>
      <c r="H15" s="21"/>
      <c r="I15" s="21"/>
      <c r="J15" s="21"/>
    </row>
    <row r="16" spans="1:10" ht="12">
      <c r="A16" s="26" t="s">
        <v>103</v>
      </c>
      <c r="B16" s="26">
        <f>LN(B15)</f>
        <v>4.622809387568779</v>
      </c>
      <c r="C16" s="26">
        <f>LN(C15)</f>
        <v>4.478326280224543</v>
      </c>
      <c r="D16" s="26">
        <f>LN(D15)</f>
        <v>4.833361139295833</v>
      </c>
      <c r="E16" s="26">
        <f>LN(E15)</f>
        <v>4.65802557472039</v>
      </c>
      <c r="G16" s="21"/>
      <c r="H16" s="21"/>
      <c r="I16" s="21"/>
      <c r="J16" s="21"/>
    </row>
    <row r="17" spans="1:10" s="218" customFormat="1" ht="12">
      <c r="A17" s="217" t="s">
        <v>142</v>
      </c>
      <c r="B17" s="217"/>
      <c r="C17" s="21"/>
      <c r="D17" s="21"/>
      <c r="E17" s="21"/>
      <c r="F17" s="21"/>
      <c r="G17" s="21"/>
      <c r="H17" s="21"/>
      <c r="I17" s="21"/>
      <c r="J17" s="21"/>
    </row>
    <row r="18" spans="1:10" s="218" customFormat="1" ht="12">
      <c r="A18" s="217"/>
      <c r="B18" s="217"/>
      <c r="C18" s="21"/>
      <c r="D18" s="21"/>
      <c r="E18" s="21"/>
      <c r="F18" s="21"/>
      <c r="G18" s="21"/>
      <c r="H18" s="21"/>
      <c r="I18" s="21"/>
      <c r="J18" s="21"/>
    </row>
    <row r="19" spans="1:11" ht="12">
      <c r="A19" s="272" t="s">
        <v>106</v>
      </c>
      <c r="B19" s="272"/>
      <c r="C19" s="272"/>
      <c r="D19" s="272"/>
      <c r="E19" s="272"/>
      <c r="F19" s="272"/>
      <c r="G19" s="272"/>
      <c r="H19" s="272"/>
      <c r="I19" s="39"/>
      <c r="J19" s="39"/>
      <c r="K19" s="26"/>
    </row>
    <row r="20" spans="9:11" ht="12">
      <c r="I20" s="39"/>
      <c r="J20" s="39"/>
      <c r="K20" s="26"/>
    </row>
    <row r="21" spans="2:11" ht="12">
      <c r="B21" s="219" t="s">
        <v>105</v>
      </c>
      <c r="C21" s="220" t="s">
        <v>102</v>
      </c>
      <c r="I21" s="39"/>
      <c r="J21" s="39"/>
      <c r="K21" s="26"/>
    </row>
    <row r="22" spans="1:11" ht="12">
      <c r="A22" s="219" t="s">
        <v>104</v>
      </c>
      <c r="B22" s="215" t="s">
        <v>119</v>
      </c>
      <c r="D22" s="215" t="s">
        <v>11</v>
      </c>
      <c r="E22" s="215" t="s">
        <v>12</v>
      </c>
      <c r="F22" s="215" t="s">
        <v>13</v>
      </c>
      <c r="G22" s="215" t="s">
        <v>101</v>
      </c>
      <c r="I22" s="39"/>
      <c r="J22" s="39"/>
      <c r="K22" s="26"/>
    </row>
    <row r="23" spans="9:11" ht="12">
      <c r="I23" s="39"/>
      <c r="J23" s="39"/>
      <c r="K23" s="26"/>
    </row>
    <row r="24" spans="9:11" ht="12">
      <c r="I24" s="39"/>
      <c r="J24" s="39"/>
      <c r="K24" s="26"/>
    </row>
    <row r="25" spans="1:11" ht="13.5">
      <c r="A25" s="219" t="s">
        <v>108</v>
      </c>
      <c r="B25" s="219" t="s">
        <v>109</v>
      </c>
      <c r="D25" s="215" t="s">
        <v>402</v>
      </c>
      <c r="J25" s="39"/>
      <c r="K25" s="26"/>
    </row>
    <row r="26" spans="1:10" s="222" customFormat="1" ht="12">
      <c r="A26" s="215"/>
      <c r="B26" s="273" t="s">
        <v>11</v>
      </c>
      <c r="C26" s="273"/>
      <c r="D26" s="273" t="s">
        <v>12</v>
      </c>
      <c r="E26" s="273"/>
      <c r="F26" s="273" t="s">
        <v>13</v>
      </c>
      <c r="G26" s="273"/>
      <c r="H26" s="273" t="s">
        <v>101</v>
      </c>
      <c r="I26" s="273"/>
      <c r="J26" s="221"/>
    </row>
    <row r="27" spans="1:10" s="224" customFormat="1" ht="12">
      <c r="A27" s="215"/>
      <c r="B27" s="216" t="s">
        <v>144</v>
      </c>
      <c r="C27" s="215" t="s">
        <v>117</v>
      </c>
      <c r="D27" s="216" t="s">
        <v>144</v>
      </c>
      <c r="E27" s="215" t="s">
        <v>117</v>
      </c>
      <c r="F27" s="216" t="s">
        <v>144</v>
      </c>
      <c r="G27" s="215" t="s">
        <v>117</v>
      </c>
      <c r="H27" s="216" t="s">
        <v>144</v>
      </c>
      <c r="I27" s="215" t="s">
        <v>117</v>
      </c>
      <c r="J27" s="223"/>
    </row>
    <row r="28" spans="1:11" ht="12">
      <c r="A28" s="225">
        <v>35471</v>
      </c>
      <c r="B28" s="226">
        <v>1.5061643742029505</v>
      </c>
      <c r="C28" s="227">
        <v>1.5</v>
      </c>
      <c r="D28" s="228">
        <v>1.3002645799411898</v>
      </c>
      <c r="E28" s="229">
        <v>1.5</v>
      </c>
      <c r="F28" s="228">
        <v>1.5920383612830158</v>
      </c>
      <c r="G28" s="227">
        <v>1.5</v>
      </c>
      <c r="H28" s="228">
        <v>1.4272989484626173</v>
      </c>
      <c r="I28" s="229">
        <v>1.5</v>
      </c>
      <c r="J28" s="218"/>
      <c r="K28" s="230"/>
    </row>
    <row r="29" spans="1:11" ht="12">
      <c r="A29" s="225">
        <v>35487</v>
      </c>
      <c r="B29" s="226">
        <v>1.3937361939591866</v>
      </c>
      <c r="C29" s="229">
        <v>1.5</v>
      </c>
      <c r="D29" s="228">
        <v>1.3937361939591866</v>
      </c>
      <c r="E29" s="229">
        <v>3</v>
      </c>
      <c r="F29" s="228">
        <v>1.5594775057138093</v>
      </c>
      <c r="G29" s="227">
        <v>1.5</v>
      </c>
      <c r="H29" s="228">
        <v>1.424538247635223</v>
      </c>
      <c r="I29" s="229">
        <v>1.5</v>
      </c>
      <c r="J29" s="231"/>
      <c r="K29" s="232"/>
    </row>
    <row r="30" spans="1:11" ht="12">
      <c r="A30" s="225">
        <v>35501</v>
      </c>
      <c r="B30" s="226">
        <v>1.6163397936760324</v>
      </c>
      <c r="C30" s="227">
        <v>1.5</v>
      </c>
      <c r="D30" s="228">
        <v>1.468951575363702</v>
      </c>
      <c r="E30" s="229">
        <v>1.5</v>
      </c>
      <c r="F30" s="228">
        <v>1.4606471538682528</v>
      </c>
      <c r="G30" s="229">
        <v>1.5</v>
      </c>
      <c r="H30" s="228">
        <v>1.5472192836401262</v>
      </c>
      <c r="I30" s="227">
        <v>1.5</v>
      </c>
      <c r="J30" s="231"/>
      <c r="K30" s="232"/>
    </row>
    <row r="31" spans="1:11" ht="12">
      <c r="A31" s="225">
        <v>35537</v>
      </c>
      <c r="B31" s="226">
        <v>1.5185126477074562</v>
      </c>
      <c r="C31" s="227">
        <v>1.5</v>
      </c>
      <c r="D31" s="228">
        <v>1.3937361939591866</v>
      </c>
      <c r="E31" s="229">
        <v>1.5</v>
      </c>
      <c r="F31" s="228">
        <v>1.575780941033366</v>
      </c>
      <c r="G31" s="227">
        <v>1.5</v>
      </c>
      <c r="H31" s="228">
        <v>1.4958529578655406</v>
      </c>
      <c r="I31" s="227">
        <v>1.5</v>
      </c>
      <c r="J31" s="231"/>
      <c r="K31" s="233"/>
    </row>
    <row r="32" spans="1:11" ht="12">
      <c r="A32" s="225">
        <v>35577</v>
      </c>
      <c r="B32" s="226">
        <v>1.56763502139621</v>
      </c>
      <c r="C32" s="229">
        <v>3</v>
      </c>
      <c r="D32" s="228">
        <v>0.9426035048286</v>
      </c>
      <c r="E32" s="229">
        <v>1.5</v>
      </c>
      <c r="F32" s="228">
        <v>1.3088364238429608</v>
      </c>
      <c r="G32" s="229">
        <v>1.5</v>
      </c>
      <c r="H32" s="228">
        <v>1.575780941033366</v>
      </c>
      <c r="I32" s="227">
        <v>1.5</v>
      </c>
      <c r="J32" s="231"/>
      <c r="K32" s="10"/>
    </row>
    <row r="33" spans="1:11" ht="12">
      <c r="A33" s="225">
        <v>35599</v>
      </c>
      <c r="B33" s="226">
        <v>1.1431557386567348</v>
      </c>
      <c r="C33" s="229">
        <v>1.5</v>
      </c>
      <c r="D33" s="228">
        <v>0.7842187970899277</v>
      </c>
      <c r="E33" s="229">
        <v>1.5</v>
      </c>
      <c r="F33" s="228">
        <v>1.1961465731488352</v>
      </c>
      <c r="G33" s="229">
        <v>1.5</v>
      </c>
      <c r="H33" s="228">
        <v>1.2114807493998383</v>
      </c>
      <c r="I33" s="229">
        <v>1.5</v>
      </c>
      <c r="J33" s="231"/>
      <c r="K33" s="10"/>
    </row>
    <row r="34" spans="1:11" ht="12">
      <c r="A34" s="225">
        <v>35620.5</v>
      </c>
      <c r="B34" s="226">
        <v>1.0623765116143618</v>
      </c>
      <c r="C34" s="229">
        <v>1.5</v>
      </c>
      <c r="D34" s="228">
        <v>1.035078508551646</v>
      </c>
      <c r="E34" s="229">
        <v>1.5</v>
      </c>
      <c r="F34" s="228">
        <v>1.4272989484626173</v>
      </c>
      <c r="G34" s="229">
        <v>1.5</v>
      </c>
      <c r="H34" s="228">
        <v>1.0623765116143618</v>
      </c>
      <c r="I34" s="229">
        <v>1.5</v>
      </c>
      <c r="J34" s="231"/>
      <c r="K34" s="10"/>
    </row>
    <row r="35" spans="1:11" ht="12">
      <c r="A35" s="225">
        <v>35654.520833333336</v>
      </c>
      <c r="B35" s="226">
        <v>1.0714331255850202</v>
      </c>
      <c r="C35" s="229">
        <v>1.5</v>
      </c>
      <c r="D35" s="228">
        <v>0.998371094704865</v>
      </c>
      <c r="E35" s="229">
        <v>1.5</v>
      </c>
      <c r="F35" s="228">
        <v>1.2049154994402966</v>
      </c>
      <c r="G35" s="229">
        <v>1.5</v>
      </c>
      <c r="H35" s="228">
        <v>1.0804688453916855</v>
      </c>
      <c r="I35" s="229">
        <v>1.5</v>
      </c>
      <c r="J35" s="231"/>
      <c r="K35" s="10"/>
    </row>
    <row r="36" spans="1:11" ht="12">
      <c r="A36" s="225">
        <v>35676.48263888889</v>
      </c>
      <c r="B36" s="226">
        <v>1.1074533058868303</v>
      </c>
      <c r="C36" s="229">
        <v>1.5</v>
      </c>
      <c r="D36" s="228">
        <v>1.0623765116143618</v>
      </c>
      <c r="E36" s="229">
        <v>1.5</v>
      </c>
      <c r="F36" s="228">
        <v>1.4523297961697115</v>
      </c>
      <c r="G36" s="229">
        <v>10</v>
      </c>
      <c r="H36" s="228">
        <v>1.1096938519832793</v>
      </c>
      <c r="I36" s="229">
        <v>1.5</v>
      </c>
      <c r="J36" s="231"/>
      <c r="K36" s="10"/>
    </row>
    <row r="37" spans="1:11" ht="12">
      <c r="A37" s="225">
        <v>35711.399305555555</v>
      </c>
      <c r="B37" s="226">
        <v>0.9798788329993693</v>
      </c>
      <c r="C37" s="229">
        <v>1.5</v>
      </c>
      <c r="D37" s="228">
        <v>1.1608926111226165</v>
      </c>
      <c r="E37" s="229">
        <v>1.5</v>
      </c>
      <c r="F37" s="228">
        <v>1.6163397936760324</v>
      </c>
      <c r="G37" s="227">
        <v>1.5</v>
      </c>
      <c r="H37" s="228">
        <v>1.1134551869810283</v>
      </c>
      <c r="I37" s="229">
        <v>1.5</v>
      </c>
      <c r="J37" s="231"/>
      <c r="K37" s="10"/>
    </row>
    <row r="38" spans="1:11" ht="12">
      <c r="A38" s="225">
        <v>35753.43402777778</v>
      </c>
      <c r="B38" s="226">
        <v>1.2571698222041165</v>
      </c>
      <c r="C38" s="229">
        <v>1.5</v>
      </c>
      <c r="D38" s="228">
        <v>1.1253432568590958</v>
      </c>
      <c r="E38" s="229">
        <v>1.5</v>
      </c>
      <c r="F38" s="228">
        <v>1.510283532136396</v>
      </c>
      <c r="G38" s="227">
        <v>1.5</v>
      </c>
      <c r="H38" s="228">
        <v>1.2744554865996702</v>
      </c>
      <c r="I38" s="229">
        <v>1.5</v>
      </c>
      <c r="J38" s="231"/>
      <c r="K38" s="10"/>
    </row>
    <row r="39" spans="1:11" ht="12">
      <c r="A39" s="225">
        <v>35782.572916666664</v>
      </c>
      <c r="B39" s="226">
        <v>1.2485026025199886</v>
      </c>
      <c r="C39" s="229">
        <v>1.5</v>
      </c>
      <c r="D39" s="228">
        <v>1.1873600254773125</v>
      </c>
      <c r="E39" s="229">
        <v>1.5</v>
      </c>
      <c r="F39" s="228">
        <v>1.4439993874687784</v>
      </c>
      <c r="G39" s="229">
        <v>1.5</v>
      </c>
      <c r="H39" s="228">
        <v>1.2830742724148425</v>
      </c>
      <c r="I39" s="229">
        <v>1.5</v>
      </c>
      <c r="J39" s="231"/>
      <c r="K39" s="10"/>
    </row>
    <row r="40" spans="9:12" ht="12">
      <c r="I40" s="39"/>
      <c r="J40" s="39"/>
      <c r="K40" s="10"/>
      <c r="L40" s="21"/>
    </row>
    <row r="41" spans="1:12" ht="13.5">
      <c r="A41" s="219" t="s">
        <v>108</v>
      </c>
      <c r="B41" s="219" t="s">
        <v>107</v>
      </c>
      <c r="D41" s="215" t="s">
        <v>403</v>
      </c>
      <c r="J41" s="39"/>
      <c r="K41" s="234"/>
      <c r="L41" s="21"/>
    </row>
    <row r="42" spans="1:10" s="222" customFormat="1" ht="12">
      <c r="A42" s="215"/>
      <c r="B42" s="273" t="s">
        <v>11</v>
      </c>
      <c r="C42" s="273"/>
      <c r="D42" s="273" t="s">
        <v>12</v>
      </c>
      <c r="E42" s="273"/>
      <c r="F42" s="273" t="s">
        <v>13</v>
      </c>
      <c r="G42" s="273"/>
      <c r="H42" s="273" t="s">
        <v>101</v>
      </c>
      <c r="I42" s="273"/>
      <c r="J42" s="221"/>
    </row>
    <row r="43" spans="1:10" s="236" customFormat="1" ht="12">
      <c r="A43" s="215"/>
      <c r="B43" s="216" t="s">
        <v>144</v>
      </c>
      <c r="C43" s="215" t="s">
        <v>117</v>
      </c>
      <c r="D43" s="216" t="s">
        <v>144</v>
      </c>
      <c r="E43" s="215" t="s">
        <v>117</v>
      </c>
      <c r="F43" s="216" t="s">
        <v>144</v>
      </c>
      <c r="G43" s="215" t="s">
        <v>117</v>
      </c>
      <c r="H43" s="216" t="s">
        <v>144</v>
      </c>
      <c r="I43" s="215" t="s">
        <v>117</v>
      </c>
      <c r="J43" s="235"/>
    </row>
    <row r="44" spans="1:11" ht="12">
      <c r="A44" s="225">
        <v>35471</v>
      </c>
      <c r="B44" s="237">
        <v>14.835543949525087</v>
      </c>
      <c r="C44" s="227">
        <v>1.5</v>
      </c>
      <c r="D44" s="238">
        <v>12.011341161174746</v>
      </c>
      <c r="E44" s="227">
        <v>1.5</v>
      </c>
      <c r="F44" s="238">
        <v>16.065635270128233</v>
      </c>
      <c r="G44" s="227">
        <v>1.5</v>
      </c>
      <c r="H44" s="237">
        <v>13.732472646397664</v>
      </c>
      <c r="I44" s="238">
        <v>1.5</v>
      </c>
      <c r="K44" s="26"/>
    </row>
    <row r="45" spans="1:11" ht="12">
      <c r="A45" s="225">
        <v>35487</v>
      </c>
      <c r="B45" s="237">
        <v>13.270968901555158</v>
      </c>
      <c r="C45" s="227">
        <v>1.5</v>
      </c>
      <c r="D45" s="238">
        <v>13.270968901555158</v>
      </c>
      <c r="E45" s="227">
        <v>3</v>
      </c>
      <c r="F45" s="238">
        <v>15.59572146760025</v>
      </c>
      <c r="G45" s="227">
        <v>1.5</v>
      </c>
      <c r="H45" s="237">
        <v>13.694331083982485</v>
      </c>
      <c r="I45" s="238">
        <v>1.5</v>
      </c>
      <c r="J45" s="231"/>
      <c r="K45" s="26"/>
    </row>
    <row r="46" spans="1:11" ht="12">
      <c r="A46" s="225">
        <v>35501</v>
      </c>
      <c r="B46" s="237">
        <v>16.419099624275894</v>
      </c>
      <c r="C46" s="227">
        <v>1.5</v>
      </c>
      <c r="D46" s="238">
        <v>14.31183184021181</v>
      </c>
      <c r="E46" s="227">
        <v>1.5</v>
      </c>
      <c r="F46" s="238">
        <v>14.195743368069095</v>
      </c>
      <c r="G46" s="227">
        <v>1.5</v>
      </c>
      <c r="H46" s="237">
        <v>15.419914646876185</v>
      </c>
      <c r="I46" s="237">
        <v>1.5</v>
      </c>
      <c r="J46" s="231"/>
      <c r="K46" s="26"/>
    </row>
    <row r="47" spans="1:11" ht="12">
      <c r="A47" s="225">
        <v>35537</v>
      </c>
      <c r="B47" s="237">
        <v>15.010585638658103</v>
      </c>
      <c r="C47" s="227">
        <v>1.5</v>
      </c>
      <c r="D47" s="238">
        <v>13.270968901555158</v>
      </c>
      <c r="E47" s="227">
        <v>1.5</v>
      </c>
      <c r="F47" s="238">
        <v>15.830480505123669</v>
      </c>
      <c r="G47" s="227">
        <v>1.5</v>
      </c>
      <c r="H47" s="237">
        <v>14.689854572150727</v>
      </c>
      <c r="I47" s="237">
        <v>1.5</v>
      </c>
      <c r="J47" s="231"/>
      <c r="K47" s="26"/>
    </row>
    <row r="48" spans="1:11" ht="12">
      <c r="A48" s="225">
        <v>35577</v>
      </c>
      <c r="B48" s="237">
        <v>15.713051235764947</v>
      </c>
      <c r="C48" s="227">
        <v>3</v>
      </c>
      <c r="D48" s="238">
        <v>7.566549700248266</v>
      </c>
      <c r="E48" s="227">
        <v>1.5</v>
      </c>
      <c r="F48" s="238">
        <v>12.125257647281899</v>
      </c>
      <c r="G48" s="227">
        <v>1.5</v>
      </c>
      <c r="H48" s="237">
        <v>15.830480505123669</v>
      </c>
      <c r="I48" s="237">
        <v>1.5</v>
      </c>
      <c r="J48" s="231"/>
      <c r="K48" s="26"/>
    </row>
    <row r="49" spans="1:11" ht="12">
      <c r="A49" s="225">
        <v>35599</v>
      </c>
      <c r="B49" s="237">
        <v>9.982723441214423</v>
      </c>
      <c r="C49" s="227">
        <v>1.5</v>
      </c>
      <c r="D49" s="238">
        <v>5.809345279764942</v>
      </c>
      <c r="E49" s="227">
        <v>1.5</v>
      </c>
      <c r="F49" s="238">
        <v>10.654165317037764</v>
      </c>
      <c r="G49" s="227">
        <v>1.5</v>
      </c>
      <c r="H49" s="237">
        <v>10.850924499945746</v>
      </c>
      <c r="I49" s="238">
        <v>1.5</v>
      </c>
      <c r="J49" s="231"/>
      <c r="K49" s="26"/>
    </row>
    <row r="50" spans="1:11" ht="12">
      <c r="A50" s="225">
        <v>35620.5</v>
      </c>
      <c r="B50" s="237">
        <v>8.985188639142223</v>
      </c>
      <c r="C50" s="227">
        <v>1.5</v>
      </c>
      <c r="D50" s="238">
        <v>8.655386336921175</v>
      </c>
      <c r="E50" s="227">
        <v>1.5</v>
      </c>
      <c r="F50" s="238">
        <v>13.732472646397664</v>
      </c>
      <c r="G50" s="227">
        <v>1.5</v>
      </c>
      <c r="H50" s="237">
        <v>8.985188639142223</v>
      </c>
      <c r="I50" s="238">
        <v>1.5</v>
      </c>
      <c r="J50" s="231"/>
      <c r="K50" s="26"/>
    </row>
    <row r="51" spans="1:11" ht="12">
      <c r="A51" s="225">
        <v>35654.520833333336</v>
      </c>
      <c r="B51" s="237">
        <v>9.095431261534564</v>
      </c>
      <c r="C51" s="227">
        <v>1.5</v>
      </c>
      <c r="D51" s="238">
        <v>8.217866432779768</v>
      </c>
      <c r="E51" s="227">
        <v>1.5</v>
      </c>
      <c r="F51" s="238">
        <v>10.766549123685122</v>
      </c>
      <c r="G51" s="227">
        <v>1.5</v>
      </c>
      <c r="H51" s="237">
        <v>9.205825722914392</v>
      </c>
      <c r="I51" s="238">
        <v>1.5</v>
      </c>
      <c r="J51" s="231"/>
      <c r="K51" s="26"/>
    </row>
    <row r="52" spans="1:11" ht="12">
      <c r="A52" s="225">
        <v>35676.48263888889</v>
      </c>
      <c r="B52" s="237">
        <v>9.537906183508612</v>
      </c>
      <c r="C52" s="227">
        <v>1.5</v>
      </c>
      <c r="D52" s="238">
        <v>8.985188639142223</v>
      </c>
      <c r="E52" s="227">
        <v>1.5</v>
      </c>
      <c r="F52" s="238">
        <v>14.07976252315023</v>
      </c>
      <c r="G52" s="227">
        <v>10</v>
      </c>
      <c r="H52" s="237">
        <v>9.565639512085074</v>
      </c>
      <c r="I52" s="238">
        <v>1.5</v>
      </c>
      <c r="J52" s="231"/>
      <c r="K52" s="26"/>
    </row>
    <row r="53" spans="1:11" ht="12">
      <c r="A53" s="225">
        <v>35711.399305555555</v>
      </c>
      <c r="B53" s="237">
        <v>8.000085311772688</v>
      </c>
      <c r="C53" s="227">
        <v>1.5</v>
      </c>
      <c r="D53" s="238">
        <v>10.205984855136471</v>
      </c>
      <c r="E53" s="227">
        <v>1.5</v>
      </c>
      <c r="F53" s="238">
        <v>16.419099624275894</v>
      </c>
      <c r="G53" s="227">
        <v>1.5</v>
      </c>
      <c r="H53" s="237">
        <v>9.61225204067103</v>
      </c>
      <c r="I53" s="238">
        <v>1.5</v>
      </c>
      <c r="J53" s="231"/>
      <c r="K53" s="26"/>
    </row>
    <row r="54" spans="1:11" ht="12">
      <c r="A54" s="225">
        <v>35753.43402777778</v>
      </c>
      <c r="B54" s="237">
        <v>11.443614053043442</v>
      </c>
      <c r="C54" s="227">
        <v>1.5</v>
      </c>
      <c r="D54" s="238">
        <v>9.76002723557972</v>
      </c>
      <c r="E54" s="227">
        <v>1.5</v>
      </c>
      <c r="F54" s="238">
        <v>14.8938652789173</v>
      </c>
      <c r="G54" s="227">
        <v>1.5</v>
      </c>
      <c r="H54" s="237">
        <v>11.670330140444927</v>
      </c>
      <c r="I54" s="238">
        <v>1.5</v>
      </c>
      <c r="J54" s="231"/>
      <c r="K54" s="26"/>
    </row>
    <row r="55" spans="1:11" ht="12">
      <c r="A55" s="225">
        <v>35782.572916666664</v>
      </c>
      <c r="B55" s="237">
        <v>11.330446234805265</v>
      </c>
      <c r="C55" s="238">
        <v>1.5</v>
      </c>
      <c r="D55" s="238">
        <v>10.541915872280807</v>
      </c>
      <c r="E55" s="238">
        <v>1.5</v>
      </c>
      <c r="F55" s="238">
        <v>13.96388999019079</v>
      </c>
      <c r="G55" s="238">
        <v>1.5</v>
      </c>
      <c r="H55" s="237">
        <v>11.783876495978713</v>
      </c>
      <c r="I55" s="238">
        <v>1.5</v>
      </c>
      <c r="J55" s="231"/>
      <c r="K55" s="26"/>
    </row>
    <row r="56" spans="1:11" s="227" customFormat="1" ht="12">
      <c r="A56" s="225"/>
      <c r="C56" s="225"/>
      <c r="E56" s="225"/>
      <c r="G56" s="225"/>
      <c r="J56" s="239"/>
      <c r="K56" s="240"/>
    </row>
    <row r="57" spans="9:11" ht="12">
      <c r="I57" s="39"/>
      <c r="J57" s="39"/>
      <c r="K57" s="26"/>
    </row>
    <row r="58" spans="1:11" ht="13.5">
      <c r="A58" s="219" t="s">
        <v>110</v>
      </c>
      <c r="B58" s="219" t="s">
        <v>109</v>
      </c>
      <c r="D58" s="215" t="s">
        <v>404</v>
      </c>
      <c r="J58" s="39"/>
      <c r="K58" s="26"/>
    </row>
    <row r="59" spans="2:11" ht="12">
      <c r="B59" s="273" t="s">
        <v>11</v>
      </c>
      <c r="C59" s="273"/>
      <c r="D59" s="273" t="s">
        <v>12</v>
      </c>
      <c r="E59" s="273"/>
      <c r="F59" s="273" t="s">
        <v>13</v>
      </c>
      <c r="G59" s="273"/>
      <c r="H59" s="273" t="s">
        <v>101</v>
      </c>
      <c r="I59" s="273"/>
      <c r="K59" s="26"/>
    </row>
    <row r="60" spans="2:11" ht="12">
      <c r="B60" s="216" t="s">
        <v>144</v>
      </c>
      <c r="C60" s="215" t="s">
        <v>117</v>
      </c>
      <c r="D60" s="216" t="s">
        <v>144</v>
      </c>
      <c r="E60" s="215" t="s">
        <v>117</v>
      </c>
      <c r="F60" s="216" t="s">
        <v>144</v>
      </c>
      <c r="G60" s="215" t="s">
        <v>117</v>
      </c>
      <c r="H60" s="216" t="s">
        <v>144</v>
      </c>
      <c r="I60" s="215" t="s">
        <v>117</v>
      </c>
      <c r="K60" s="26"/>
    </row>
    <row r="61" spans="1:11" ht="12">
      <c r="A61" s="241">
        <v>35471</v>
      </c>
      <c r="D61" s="226"/>
      <c r="F61" s="226"/>
      <c r="H61" s="226"/>
      <c r="K61" s="26"/>
    </row>
    <row r="62" spans="1:11" ht="12">
      <c r="A62" s="241">
        <v>35487</v>
      </c>
      <c r="D62" s="226"/>
      <c r="F62" s="226"/>
      <c r="H62" s="226"/>
      <c r="J62" s="231"/>
      <c r="K62" s="26"/>
    </row>
    <row r="63" spans="1:11" ht="12">
      <c r="A63" s="241">
        <v>35501</v>
      </c>
      <c r="B63" s="226">
        <v>299.48529401997206</v>
      </c>
      <c r="C63" s="215">
        <v>2.5</v>
      </c>
      <c r="D63" s="226">
        <v>271.05836080922614</v>
      </c>
      <c r="E63" s="215">
        <v>0.0025</v>
      </c>
      <c r="F63" s="226">
        <v>269.4602187520413</v>
      </c>
      <c r="G63" s="215">
        <v>2.5</v>
      </c>
      <c r="H63" s="226">
        <v>286.1393931728518</v>
      </c>
      <c r="I63" s="215">
        <v>2.5</v>
      </c>
      <c r="J63" s="231"/>
      <c r="K63" s="26"/>
    </row>
    <row r="64" spans="1:11" ht="12">
      <c r="A64" s="241">
        <v>35537</v>
      </c>
      <c r="B64" s="226"/>
      <c r="D64" s="226"/>
      <c r="F64" s="226"/>
      <c r="H64" s="226"/>
      <c r="J64" s="231"/>
      <c r="K64" s="26"/>
    </row>
    <row r="65" spans="1:11" ht="12">
      <c r="A65" s="241">
        <v>35577</v>
      </c>
      <c r="B65" s="226">
        <v>290.07867704818017</v>
      </c>
      <c r="C65" s="215">
        <v>2.5</v>
      </c>
      <c r="D65" s="226">
        <v>170.6437058303815</v>
      </c>
      <c r="E65" s="215">
        <v>0.0025</v>
      </c>
      <c r="F65" s="226">
        <v>240.31624353041738</v>
      </c>
      <c r="G65" s="215">
        <v>2.5</v>
      </c>
      <c r="H65" s="226">
        <v>291.6510771743569</v>
      </c>
      <c r="I65" s="215">
        <v>2.5</v>
      </c>
      <c r="J65" s="231"/>
      <c r="K65" s="26"/>
    </row>
    <row r="66" spans="1:11" ht="12">
      <c r="A66" s="241">
        <v>35599</v>
      </c>
      <c r="B66" s="226"/>
      <c r="D66" s="226"/>
      <c r="F66" s="226"/>
      <c r="H66" s="226"/>
      <c r="J66" s="231"/>
      <c r="K66" s="26"/>
    </row>
    <row r="67" spans="1:11" ht="12">
      <c r="A67" s="241">
        <v>35620.5</v>
      </c>
      <c r="B67" s="226">
        <v>193.31961290150008</v>
      </c>
      <c r="C67" s="215">
        <v>2.5</v>
      </c>
      <c r="D67" s="226">
        <v>188.1412831693746</v>
      </c>
      <c r="E67" s="215">
        <v>0.0025</v>
      </c>
      <c r="F67" s="226">
        <v>263.0464930363003</v>
      </c>
      <c r="G67" s="215">
        <v>2.5</v>
      </c>
      <c r="H67" s="226">
        <v>193.31961290150008</v>
      </c>
      <c r="I67" s="215">
        <v>2.5</v>
      </c>
      <c r="J67" s="231"/>
      <c r="K67" s="26"/>
    </row>
    <row r="68" spans="1:11" ht="12">
      <c r="A68" s="241">
        <v>35654.520833333336</v>
      </c>
      <c r="B68" s="226"/>
      <c r="D68" s="226"/>
      <c r="F68" s="226"/>
      <c r="H68" s="226"/>
      <c r="J68" s="231"/>
      <c r="K68" s="26"/>
    </row>
    <row r="69" spans="1:11" ht="12">
      <c r="A69" s="241">
        <v>35676.48263888889</v>
      </c>
      <c r="B69" s="226"/>
      <c r="D69" s="226"/>
      <c r="F69" s="226"/>
      <c r="H69" s="226"/>
      <c r="J69" s="231"/>
      <c r="K69" s="26"/>
    </row>
    <row r="70" spans="1:11" ht="12">
      <c r="A70" s="241">
        <v>35711.399305555555</v>
      </c>
      <c r="B70" s="226">
        <v>177.6882229007103</v>
      </c>
      <c r="C70" s="215">
        <v>8</v>
      </c>
      <c r="D70" s="226">
        <v>212.05444152695466</v>
      </c>
      <c r="E70" s="215">
        <v>0.0025</v>
      </c>
      <c r="F70" s="226">
        <v>299.48529401997206</v>
      </c>
      <c r="G70" s="215">
        <v>2.5</v>
      </c>
      <c r="H70" s="226">
        <v>203.0243360969028</v>
      </c>
      <c r="I70" s="215">
        <v>2.5</v>
      </c>
      <c r="J70" s="231"/>
      <c r="K70" s="26"/>
    </row>
    <row r="71" spans="1:11" ht="12">
      <c r="A71" s="241">
        <v>35753.43402777778</v>
      </c>
      <c r="D71" s="226"/>
      <c r="F71" s="226"/>
      <c r="H71" s="226"/>
      <c r="J71" s="231"/>
      <c r="K71" s="26"/>
    </row>
    <row r="72" spans="1:11" ht="12">
      <c r="A72" s="241">
        <v>35782.572916666664</v>
      </c>
      <c r="D72" s="226"/>
      <c r="F72" s="226"/>
      <c r="H72" s="226"/>
      <c r="J72" s="231"/>
      <c r="K72" s="26"/>
    </row>
    <row r="73" spans="9:11" ht="12">
      <c r="I73" s="20"/>
      <c r="J73" s="231"/>
      <c r="K73" s="26"/>
    </row>
    <row r="74" spans="1:11" ht="13.5">
      <c r="A74" s="219" t="s">
        <v>110</v>
      </c>
      <c r="B74" s="219" t="s">
        <v>107</v>
      </c>
      <c r="D74" s="215" t="s">
        <v>405</v>
      </c>
      <c r="J74" s="39"/>
      <c r="K74" s="26"/>
    </row>
    <row r="75" spans="2:11" ht="12">
      <c r="B75" s="273" t="s">
        <v>11</v>
      </c>
      <c r="C75" s="273"/>
      <c r="D75" s="273" t="s">
        <v>12</v>
      </c>
      <c r="E75" s="273"/>
      <c r="F75" s="273" t="s">
        <v>13</v>
      </c>
      <c r="G75" s="273"/>
      <c r="H75" s="273" t="s">
        <v>101</v>
      </c>
      <c r="I75" s="273"/>
      <c r="K75" s="26"/>
    </row>
    <row r="76" spans="2:11" ht="12">
      <c r="B76" s="216" t="s">
        <v>144</v>
      </c>
      <c r="C76" s="215" t="s">
        <v>117</v>
      </c>
      <c r="D76" s="216" t="s">
        <v>144</v>
      </c>
      <c r="E76" s="215" t="s">
        <v>117</v>
      </c>
      <c r="F76" s="216" t="s">
        <v>144</v>
      </c>
      <c r="G76" s="215" t="s">
        <v>117</v>
      </c>
      <c r="H76" s="216" t="s">
        <v>144</v>
      </c>
      <c r="I76" s="215" t="s">
        <v>117</v>
      </c>
      <c r="K76" s="26"/>
    </row>
    <row r="77" spans="1:11" ht="12">
      <c r="A77" s="241">
        <v>35471</v>
      </c>
      <c r="B77" s="226"/>
      <c r="D77" s="226"/>
      <c r="F77" s="226"/>
      <c r="H77" s="226"/>
      <c r="K77" s="26"/>
    </row>
    <row r="78" spans="1:11" ht="12">
      <c r="A78" s="241">
        <v>35487</v>
      </c>
      <c r="B78" s="226"/>
      <c r="D78" s="226"/>
      <c r="F78" s="226"/>
      <c r="H78" s="226"/>
      <c r="J78" s="231"/>
      <c r="K78" s="26"/>
    </row>
    <row r="79" spans="1:11" ht="12">
      <c r="A79" s="241">
        <v>35501</v>
      </c>
      <c r="B79" s="226">
        <v>2512.57980382736</v>
      </c>
      <c r="C79" s="215">
        <v>2.5</v>
      </c>
      <c r="D79" s="226">
        <v>2274.0874982074847</v>
      </c>
      <c r="E79" s="215">
        <v>2.5</v>
      </c>
      <c r="F79" s="226">
        <v>2260.6796296519674</v>
      </c>
      <c r="G79" s="215">
        <v>2.5</v>
      </c>
      <c r="H79" s="226">
        <v>2400.6122327915664</v>
      </c>
      <c r="I79" s="215">
        <v>2.5</v>
      </c>
      <c r="J79" s="231"/>
      <c r="K79" s="26"/>
    </row>
    <row r="80" spans="1:11" ht="12">
      <c r="A80" s="241">
        <v>35537</v>
      </c>
      <c r="B80" s="226"/>
      <c r="D80" s="226"/>
      <c r="F80" s="226"/>
      <c r="H80" s="226"/>
      <c r="J80" s="231"/>
      <c r="K80" s="26"/>
    </row>
    <row r="81" spans="1:11" ht="12">
      <c r="A81" s="241">
        <v>35577</v>
      </c>
      <c r="B81" s="226">
        <v>2433.6614853068927</v>
      </c>
      <c r="C81" s="215">
        <v>2.5</v>
      </c>
      <c r="D81" s="226">
        <v>1431.6426798942616</v>
      </c>
      <c r="E81" s="215">
        <v>2.5</v>
      </c>
      <c r="F81" s="226">
        <v>2016.1715853263802</v>
      </c>
      <c r="G81" s="215">
        <v>2.5</v>
      </c>
      <c r="H81" s="226">
        <v>2446.853387812473</v>
      </c>
      <c r="I81" s="215">
        <v>2.5</v>
      </c>
      <c r="J81" s="231"/>
      <c r="K81" s="26"/>
    </row>
    <row r="82" spans="1:11" ht="12">
      <c r="A82" s="241">
        <v>35599</v>
      </c>
      <c r="B82" s="226"/>
      <c r="D82" s="226"/>
      <c r="F82" s="226"/>
      <c r="H82" s="226"/>
      <c r="J82" s="231"/>
      <c r="K82" s="26"/>
    </row>
    <row r="83" spans="1:11" ht="12">
      <c r="A83" s="241">
        <v>35620.5</v>
      </c>
      <c r="B83" s="226">
        <v>1621.8858313211197</v>
      </c>
      <c r="C83" s="215">
        <v>2.5</v>
      </c>
      <c r="D83" s="226">
        <v>1578.4414052932104</v>
      </c>
      <c r="E83" s="215">
        <v>2.5</v>
      </c>
      <c r="F83" s="226">
        <v>2206.8706513066586</v>
      </c>
      <c r="G83" s="215">
        <v>2.5</v>
      </c>
      <c r="H83" s="226">
        <v>1621.8858313211197</v>
      </c>
      <c r="I83" s="215">
        <v>2.5</v>
      </c>
      <c r="J83" s="231"/>
      <c r="K83" s="26"/>
    </row>
    <row r="84" spans="1:11" ht="12">
      <c r="A84" s="241">
        <v>35654.520833333336</v>
      </c>
      <c r="B84" s="226"/>
      <c r="D84" s="226"/>
      <c r="F84" s="226"/>
      <c r="H84" s="226"/>
      <c r="J84" s="231"/>
      <c r="K84" s="26"/>
    </row>
    <row r="85" spans="1:11" ht="12">
      <c r="A85" s="241">
        <v>35676.48263888889</v>
      </c>
      <c r="B85" s="226"/>
      <c r="D85" s="226"/>
      <c r="F85" s="226"/>
      <c r="H85" s="226"/>
      <c r="J85" s="231"/>
      <c r="K85" s="26"/>
    </row>
    <row r="86" spans="1:11" ht="12">
      <c r="A86" s="241">
        <v>35711.399305555555</v>
      </c>
      <c r="B86" s="226">
        <v>1490.7437832607757</v>
      </c>
      <c r="C86" s="215">
        <v>8</v>
      </c>
      <c r="D86" s="226">
        <v>1779.0646743976154</v>
      </c>
      <c r="E86" s="215">
        <v>2.5</v>
      </c>
      <c r="F86" s="226">
        <v>2512.57980382736</v>
      </c>
      <c r="G86" s="215">
        <v>2.5</v>
      </c>
      <c r="H86" s="226">
        <v>1703.3051597135086</v>
      </c>
      <c r="I86" s="215">
        <v>2.5</v>
      </c>
      <c r="J86" s="231"/>
      <c r="K86" s="26"/>
    </row>
    <row r="87" spans="1:11" ht="12">
      <c r="A87" s="241">
        <v>35753.43402777778</v>
      </c>
      <c r="B87" s="226"/>
      <c r="D87" s="226"/>
      <c r="F87" s="226"/>
      <c r="H87" s="226"/>
      <c r="J87" s="231"/>
      <c r="K87" s="26"/>
    </row>
    <row r="88" spans="1:11" ht="12">
      <c r="A88" s="241">
        <v>35782.572916666664</v>
      </c>
      <c r="B88" s="226"/>
      <c r="D88" s="226"/>
      <c r="F88" s="226"/>
      <c r="H88" s="226"/>
      <c r="J88" s="231"/>
      <c r="K88" s="26"/>
    </row>
    <row r="89" spans="2:11" ht="12">
      <c r="B89" s="227"/>
      <c r="J89" s="231"/>
      <c r="K89" s="26"/>
    </row>
    <row r="90" spans="9:11" ht="12">
      <c r="I90" s="39"/>
      <c r="J90" s="39"/>
      <c r="K90" s="26"/>
    </row>
    <row r="91" spans="2:11" ht="12">
      <c r="B91" s="219" t="s">
        <v>107</v>
      </c>
      <c r="C91" s="220">
        <v>16</v>
      </c>
      <c r="G91" s="215" t="s">
        <v>118</v>
      </c>
      <c r="I91" s="39"/>
      <c r="J91" s="39"/>
      <c r="K91" s="26"/>
    </row>
    <row r="92" spans="1:11" ht="12">
      <c r="A92" s="219" t="s">
        <v>111</v>
      </c>
      <c r="B92" s="215" t="s">
        <v>119</v>
      </c>
      <c r="D92" s="215" t="s">
        <v>11</v>
      </c>
      <c r="E92" s="215" t="s">
        <v>12</v>
      </c>
      <c r="F92" s="215" t="s">
        <v>13</v>
      </c>
      <c r="G92" s="215" t="s">
        <v>101</v>
      </c>
      <c r="I92" s="21"/>
      <c r="J92" s="21"/>
      <c r="K92" s="26"/>
    </row>
    <row r="93" spans="2:11" ht="12">
      <c r="B93" s="219" t="s">
        <v>109</v>
      </c>
      <c r="C93" s="220">
        <v>11</v>
      </c>
      <c r="G93" s="215" t="s">
        <v>118</v>
      </c>
      <c r="I93" s="230"/>
      <c r="J93" s="231"/>
      <c r="K93" s="26"/>
    </row>
    <row r="94" spans="9:11" ht="12">
      <c r="I94" s="230"/>
      <c r="J94" s="231"/>
      <c r="K94" s="26"/>
    </row>
    <row r="95" spans="9:11" ht="12">
      <c r="I95" s="230"/>
      <c r="J95" s="231"/>
      <c r="K95" s="26"/>
    </row>
    <row r="96" spans="1:11" ht="13.5">
      <c r="A96" s="219" t="s">
        <v>112</v>
      </c>
      <c r="B96" s="219" t="s">
        <v>107</v>
      </c>
      <c r="D96" s="215" t="s">
        <v>406</v>
      </c>
      <c r="J96" s="39"/>
      <c r="K96" s="26"/>
    </row>
    <row r="97" spans="2:11" ht="12">
      <c r="B97" s="273" t="s">
        <v>11</v>
      </c>
      <c r="C97" s="273"/>
      <c r="D97" s="273" t="s">
        <v>12</v>
      </c>
      <c r="E97" s="273"/>
      <c r="F97" s="273" t="s">
        <v>13</v>
      </c>
      <c r="G97" s="273"/>
      <c r="H97" s="273" t="s">
        <v>101</v>
      </c>
      <c r="I97" s="273"/>
      <c r="K97" s="26"/>
    </row>
    <row r="98" spans="1:9" s="224" customFormat="1" ht="12">
      <c r="A98" s="215"/>
      <c r="B98" s="216" t="s">
        <v>144</v>
      </c>
      <c r="C98" s="215" t="s">
        <v>117</v>
      </c>
      <c r="D98" s="216" t="s">
        <v>144</v>
      </c>
      <c r="E98" s="215" t="s">
        <v>117</v>
      </c>
      <c r="F98" s="216" t="s">
        <v>144</v>
      </c>
      <c r="G98" s="215" t="s">
        <v>117</v>
      </c>
      <c r="H98" s="216" t="s">
        <v>144</v>
      </c>
      <c r="I98" s="215" t="s">
        <v>117</v>
      </c>
    </row>
    <row r="99" spans="1:11" ht="12">
      <c r="A99" s="241">
        <v>35471</v>
      </c>
      <c r="B99" s="226">
        <v>24.92523814249467</v>
      </c>
      <c r="C99" s="215">
        <v>10</v>
      </c>
      <c r="D99" s="226">
        <v>20.894587522349674</v>
      </c>
      <c r="E99" s="215">
        <v>10</v>
      </c>
      <c r="F99" s="226">
        <v>26.64007715812804</v>
      </c>
      <c r="G99" s="215">
        <v>10</v>
      </c>
      <c r="H99" s="226">
        <v>23.367464748730857</v>
      </c>
      <c r="I99" s="215">
        <v>8.3</v>
      </c>
      <c r="K99" s="26"/>
    </row>
    <row r="100" spans="1:11" ht="12">
      <c r="A100" s="241">
        <v>35487</v>
      </c>
      <c r="B100" s="226">
        <v>22.709673048795036</v>
      </c>
      <c r="C100" s="215">
        <v>10</v>
      </c>
      <c r="D100" s="226">
        <v>22.709673048795036</v>
      </c>
      <c r="E100" s="215">
        <v>5</v>
      </c>
      <c r="F100" s="226">
        <v>25.98762788255062</v>
      </c>
      <c r="G100" s="215">
        <v>5</v>
      </c>
      <c r="H100" s="226">
        <v>23.31324034652681</v>
      </c>
      <c r="I100" s="215">
        <v>5</v>
      </c>
      <c r="J100" s="231"/>
      <c r="K100" s="26"/>
    </row>
    <row r="101" spans="1:11" ht="12">
      <c r="A101" s="241">
        <v>35501</v>
      </c>
      <c r="B101" s="226">
        <v>27.128770255583404</v>
      </c>
      <c r="C101" s="215">
        <v>10</v>
      </c>
      <c r="D101" s="226">
        <v>24.1881136206097</v>
      </c>
      <c r="E101" s="215">
        <v>5</v>
      </c>
      <c r="F101" s="226">
        <v>24.02412231788491</v>
      </c>
      <c r="G101" s="215">
        <v>5</v>
      </c>
      <c r="H101" s="226">
        <v>25.742701438619367</v>
      </c>
      <c r="I101" s="215">
        <v>5</v>
      </c>
      <c r="J101" s="231"/>
      <c r="K101" s="26"/>
    </row>
    <row r="102" spans="1:11" ht="12">
      <c r="A102" s="241">
        <v>35537</v>
      </c>
      <c r="B102" s="226">
        <v>25.170647455266653</v>
      </c>
      <c r="C102" s="215">
        <v>5</v>
      </c>
      <c r="D102" s="226">
        <v>22.709673048795036</v>
      </c>
      <c r="E102" s="215">
        <v>5</v>
      </c>
      <c r="F102" s="226">
        <v>26.31397657522751</v>
      </c>
      <c r="G102" s="215">
        <v>5</v>
      </c>
      <c r="H102" s="226">
        <v>24.72061715232194</v>
      </c>
      <c r="I102" s="215">
        <v>8.8</v>
      </c>
      <c r="J102" s="231"/>
      <c r="K102" s="26"/>
    </row>
    <row r="103" spans="1:11" ht="12">
      <c r="A103" s="241">
        <v>35577</v>
      </c>
      <c r="B103" s="226">
        <v>26.150833459180586</v>
      </c>
      <c r="C103" s="215">
        <v>5</v>
      </c>
      <c r="D103" s="226">
        <v>14.203576038426322</v>
      </c>
      <c r="E103" s="215">
        <v>5</v>
      </c>
      <c r="F103" s="226">
        <v>21.05998343301882</v>
      </c>
      <c r="G103" s="215">
        <v>5</v>
      </c>
      <c r="H103" s="226">
        <v>26.31397657522751</v>
      </c>
      <c r="I103" s="215">
        <v>5</v>
      </c>
      <c r="J103" s="231"/>
      <c r="K103" s="26"/>
    </row>
    <row r="104" spans="1:11" ht="12">
      <c r="A104" s="241">
        <v>35599</v>
      </c>
      <c r="B104" s="226">
        <v>17.90296874852719</v>
      </c>
      <c r="C104" s="215">
        <v>5</v>
      </c>
      <c r="D104" s="226">
        <v>11.390206756614067</v>
      </c>
      <c r="E104" s="215">
        <v>7.5</v>
      </c>
      <c r="F104" s="226">
        <v>18.90335326638297</v>
      </c>
      <c r="G104" s="215">
        <v>5</v>
      </c>
      <c r="H104" s="226">
        <v>19.194513508733383</v>
      </c>
      <c r="I104" s="215">
        <v>7.5</v>
      </c>
      <c r="J104" s="231"/>
      <c r="K104" s="26"/>
    </row>
    <row r="105" spans="1:11" ht="12">
      <c r="A105" s="241">
        <v>35620.5</v>
      </c>
      <c r="B105" s="226">
        <v>16.395865465690978</v>
      </c>
      <c r="C105" s="215">
        <v>5</v>
      </c>
      <c r="D105" s="226">
        <v>15.891640044067094</v>
      </c>
      <c r="E105" s="215">
        <v>10</v>
      </c>
      <c r="F105" s="226">
        <v>23.367464748730857</v>
      </c>
      <c r="G105" s="215">
        <v>5</v>
      </c>
      <c r="H105" s="226">
        <v>16.395865465690978</v>
      </c>
      <c r="I105" s="215">
        <v>6.7</v>
      </c>
      <c r="J105" s="231"/>
      <c r="K105" s="26"/>
    </row>
    <row r="106" spans="1:11" ht="12">
      <c r="A106" s="241">
        <v>35654.520833333336</v>
      </c>
      <c r="B106" s="226">
        <v>16.56372796778051</v>
      </c>
      <c r="C106" s="215">
        <v>5</v>
      </c>
      <c r="D106" s="226">
        <v>15.217803325525747</v>
      </c>
      <c r="E106" s="215">
        <v>5</v>
      </c>
      <c r="F106" s="226">
        <v>19.06976396413978</v>
      </c>
      <c r="G106" s="215">
        <v>5</v>
      </c>
      <c r="H106" s="226">
        <v>16.731486172768513</v>
      </c>
      <c r="I106" s="215">
        <v>5</v>
      </c>
      <c r="J106" s="231"/>
      <c r="K106" s="26"/>
    </row>
    <row r="107" spans="1:11" ht="12">
      <c r="A107" s="241">
        <v>35676.48263888889</v>
      </c>
      <c r="B107" s="226">
        <v>17.23414661247295</v>
      </c>
      <c r="C107" s="215">
        <v>5</v>
      </c>
      <c r="D107" s="226">
        <v>16.395865465690978</v>
      </c>
      <c r="E107" s="215">
        <v>5</v>
      </c>
      <c r="F107" s="226">
        <v>23.860062313942752</v>
      </c>
      <c r="G107" s="215">
        <v>2.5</v>
      </c>
      <c r="H107" s="226">
        <v>17.27599404689329</v>
      </c>
      <c r="I107" s="215">
        <v>5</v>
      </c>
      <c r="J107" s="231"/>
      <c r="K107" s="26"/>
    </row>
    <row r="108" spans="1:11" ht="12">
      <c r="A108" s="241">
        <v>35711.399305555555</v>
      </c>
      <c r="B108" s="226">
        <v>14.880202239338159</v>
      </c>
      <c r="C108" s="215">
        <v>5</v>
      </c>
      <c r="D108" s="226">
        <v>18.23680222582747</v>
      </c>
      <c r="E108" s="215">
        <v>10</v>
      </c>
      <c r="F108" s="226">
        <v>27.128770255583404</v>
      </c>
      <c r="G108" s="215">
        <v>10</v>
      </c>
      <c r="H108" s="226">
        <v>17.346283748507414</v>
      </c>
      <c r="I108" s="215">
        <v>10</v>
      </c>
      <c r="J108" s="231"/>
      <c r="K108" s="26"/>
    </row>
    <row r="109" spans="1:11" ht="12">
      <c r="A109" s="241">
        <v>35753.43402777778</v>
      </c>
      <c r="B109" s="226">
        <v>20.06638803150912</v>
      </c>
      <c r="C109" s="215">
        <v>5</v>
      </c>
      <c r="D109" s="226">
        <v>17.568752936161868</v>
      </c>
      <c r="E109" s="215">
        <v>5</v>
      </c>
      <c r="F109" s="226">
        <v>25.007057645827516</v>
      </c>
      <c r="G109" s="215">
        <v>5</v>
      </c>
      <c r="H109" s="226">
        <v>20.39791476167027</v>
      </c>
      <c r="I109" s="215">
        <v>5</v>
      </c>
      <c r="J109" s="231"/>
      <c r="K109" s="26"/>
    </row>
    <row r="110" spans="1:11" ht="12">
      <c r="A110" s="241">
        <v>35782.572916666664</v>
      </c>
      <c r="B110" s="226">
        <v>19.90049892035459</v>
      </c>
      <c r="C110" s="215">
        <v>5</v>
      </c>
      <c r="D110" s="226">
        <v>18.736852650113526</v>
      </c>
      <c r="E110" s="215">
        <v>5</v>
      </c>
      <c r="F110" s="226">
        <v>23.695933078208306</v>
      </c>
      <c r="G110" s="215">
        <v>5</v>
      </c>
      <c r="H110" s="226">
        <v>20.563553913547892</v>
      </c>
      <c r="I110" s="215">
        <v>6.7</v>
      </c>
      <c r="J110" s="231"/>
      <c r="K110" s="26"/>
    </row>
    <row r="111" spans="9:11" ht="12">
      <c r="I111" s="39"/>
      <c r="J111" s="39"/>
      <c r="K111" s="26"/>
    </row>
    <row r="112" spans="1:11" ht="13.5">
      <c r="A112" s="219" t="s">
        <v>112</v>
      </c>
      <c r="B112" s="219" t="s">
        <v>109</v>
      </c>
      <c r="D112" s="215" t="s">
        <v>407</v>
      </c>
      <c r="J112" s="39"/>
      <c r="K112" s="26"/>
    </row>
    <row r="113" spans="1:9" s="222" customFormat="1" ht="12">
      <c r="A113" s="215"/>
      <c r="B113" s="273" t="s">
        <v>11</v>
      </c>
      <c r="C113" s="273"/>
      <c r="D113" s="273" t="s">
        <v>12</v>
      </c>
      <c r="E113" s="273"/>
      <c r="F113" s="273" t="s">
        <v>13</v>
      </c>
      <c r="G113" s="273"/>
      <c r="H113" s="273" t="s">
        <v>101</v>
      </c>
      <c r="I113" s="273"/>
    </row>
    <row r="114" spans="1:9" s="224" customFormat="1" ht="12">
      <c r="A114" s="215"/>
      <c r="B114" s="216" t="s">
        <v>144</v>
      </c>
      <c r="C114" s="215" t="s">
        <v>117</v>
      </c>
      <c r="D114" s="216" t="s">
        <v>144</v>
      </c>
      <c r="E114" s="215" t="s">
        <v>117</v>
      </c>
      <c r="F114" s="216" t="s">
        <v>144</v>
      </c>
      <c r="G114" s="215" t="s">
        <v>117</v>
      </c>
      <c r="H114" s="216" t="s">
        <v>144</v>
      </c>
      <c r="I114" s="215" t="s">
        <v>117</v>
      </c>
    </row>
    <row r="115" spans="1:11" ht="12">
      <c r="A115" s="241">
        <v>35471</v>
      </c>
      <c r="B115" s="226">
        <v>16.09861571047659</v>
      </c>
      <c r="C115" s="215">
        <v>10</v>
      </c>
      <c r="D115" s="226">
        <v>13.718715903301407</v>
      </c>
      <c r="E115" s="215">
        <v>10</v>
      </c>
      <c r="F115" s="226">
        <v>17.09995785289247</v>
      </c>
      <c r="G115" s="215">
        <v>10</v>
      </c>
      <c r="H115" s="226">
        <v>15.183421002459749</v>
      </c>
      <c r="I115" s="215">
        <v>8.3</v>
      </c>
      <c r="K115" s="26"/>
    </row>
    <row r="116" spans="1:11" ht="12">
      <c r="A116" s="241">
        <v>35487</v>
      </c>
      <c r="B116" s="226">
        <v>14.795279658652152</v>
      </c>
      <c r="C116" s="215">
        <v>10</v>
      </c>
      <c r="D116" s="226">
        <v>14.795279658652152</v>
      </c>
      <c r="E116" s="215">
        <v>5</v>
      </c>
      <c r="F116" s="226">
        <v>16.719703241839756</v>
      </c>
      <c r="G116" s="215">
        <v>5</v>
      </c>
      <c r="H116" s="226">
        <v>15.151463802694412</v>
      </c>
      <c r="I116" s="215">
        <v>5</v>
      </c>
      <c r="J116" s="231"/>
      <c r="K116" s="26"/>
    </row>
    <row r="117" spans="1:11" ht="12">
      <c r="A117" s="241">
        <v>35501</v>
      </c>
      <c r="B117" s="226">
        <v>17.38420509270477</v>
      </c>
      <c r="C117" s="215">
        <v>10</v>
      </c>
      <c r="D117" s="226">
        <v>15.666238390006189</v>
      </c>
      <c r="E117" s="215">
        <v>5</v>
      </c>
      <c r="F117" s="226">
        <v>15.569879926505795</v>
      </c>
      <c r="G117" s="215">
        <v>5</v>
      </c>
      <c r="H117" s="226">
        <v>16.57672904080056</v>
      </c>
      <c r="I117" s="215">
        <v>5</v>
      </c>
      <c r="J117" s="231"/>
      <c r="K117" s="26"/>
    </row>
    <row r="118" spans="1:11" ht="12">
      <c r="A118" s="241">
        <v>35537</v>
      </c>
      <c r="B118" s="226">
        <v>16.24230052912616</v>
      </c>
      <c r="C118" s="215">
        <v>5</v>
      </c>
      <c r="D118" s="226">
        <v>14.795279658652152</v>
      </c>
      <c r="E118" s="215">
        <v>5</v>
      </c>
      <c r="F118" s="226">
        <v>16.91001254980605</v>
      </c>
      <c r="G118" s="215">
        <v>5</v>
      </c>
      <c r="H118" s="226">
        <v>15.978711409510359</v>
      </c>
      <c r="I118" s="215">
        <v>8.8</v>
      </c>
      <c r="J118" s="231"/>
      <c r="K118" s="26"/>
    </row>
    <row r="119" spans="1:11" ht="12">
      <c r="A119" s="241">
        <v>35577</v>
      </c>
      <c r="B119" s="226">
        <v>16.814903740556833</v>
      </c>
      <c r="C119" s="215">
        <v>5</v>
      </c>
      <c r="D119" s="226">
        <v>9.666759937058785</v>
      </c>
      <c r="E119" s="215">
        <v>5</v>
      </c>
      <c r="F119" s="226">
        <v>13.817165475216747</v>
      </c>
      <c r="G119" s="215">
        <v>5</v>
      </c>
      <c r="H119" s="226">
        <v>16.91001254980605</v>
      </c>
      <c r="I119" s="215">
        <v>5</v>
      </c>
      <c r="J119" s="231"/>
      <c r="K119" s="26"/>
    </row>
    <row r="120" spans="1:11" ht="12">
      <c r="A120" s="241">
        <v>35599</v>
      </c>
      <c r="B120" s="226">
        <v>11.924802581666581</v>
      </c>
      <c r="C120" s="215">
        <v>5</v>
      </c>
      <c r="D120" s="226">
        <v>7.912943391465273</v>
      </c>
      <c r="E120" s="215">
        <v>7.5</v>
      </c>
      <c r="F120" s="226">
        <v>12.527575305483678</v>
      </c>
      <c r="G120" s="215">
        <v>5</v>
      </c>
      <c r="H120" s="226">
        <v>12.702446998962147</v>
      </c>
      <c r="I120" s="215">
        <v>7.5</v>
      </c>
      <c r="J120" s="231"/>
      <c r="K120" s="26"/>
    </row>
    <row r="121" spans="1:11" ht="12">
      <c r="A121" s="241">
        <v>35620.5</v>
      </c>
      <c r="B121" s="226">
        <v>11.010708938598976</v>
      </c>
      <c r="C121" s="215">
        <v>5</v>
      </c>
      <c r="D121" s="226">
        <v>10.703168059117688</v>
      </c>
      <c r="E121" s="215">
        <v>10</v>
      </c>
      <c r="F121" s="226">
        <v>15.183421002459749</v>
      </c>
      <c r="G121" s="215">
        <v>5</v>
      </c>
      <c r="H121" s="226">
        <v>11.010708938598976</v>
      </c>
      <c r="I121" s="215">
        <v>6.7</v>
      </c>
      <c r="J121" s="231"/>
      <c r="K121" s="26"/>
    </row>
    <row r="122" spans="1:11" ht="12">
      <c r="A122" s="241">
        <v>35654.520833333336</v>
      </c>
      <c r="B122" s="226">
        <v>11.112896346153475</v>
      </c>
      <c r="C122" s="215">
        <v>5</v>
      </c>
      <c r="D122" s="226">
        <v>10.290750670789372</v>
      </c>
      <c r="E122" s="215">
        <v>5</v>
      </c>
      <c r="F122" s="226">
        <v>12.62755250800161</v>
      </c>
      <c r="G122" s="215">
        <v>5</v>
      </c>
      <c r="H122" s="226">
        <v>11.214924001558188</v>
      </c>
      <c r="I122" s="215">
        <v>5</v>
      </c>
      <c r="J122" s="231"/>
      <c r="K122" s="26"/>
    </row>
    <row r="123" spans="1:11" ht="12">
      <c r="A123" s="241">
        <v>35676.48263888889</v>
      </c>
      <c r="B123" s="226">
        <v>11.520067690145188</v>
      </c>
      <c r="C123" s="215">
        <v>5</v>
      </c>
      <c r="D123" s="226">
        <v>11.010708938598976</v>
      </c>
      <c r="E123" s="215">
        <v>5</v>
      </c>
      <c r="F123" s="226">
        <v>15.473419813136795</v>
      </c>
      <c r="G123" s="215">
        <v>2.5</v>
      </c>
      <c r="H123" s="226">
        <v>11.545433808506719</v>
      </c>
      <c r="I123" s="215">
        <v>5</v>
      </c>
      <c r="J123" s="231"/>
      <c r="K123" s="26"/>
    </row>
    <row r="124" spans="1:11" ht="12">
      <c r="A124" s="241">
        <v>35711.399305555555</v>
      </c>
      <c r="B124" s="226">
        <v>10.083488653693557</v>
      </c>
      <c r="C124" s="215">
        <v>5</v>
      </c>
      <c r="D124" s="226">
        <v>12.126291182620138</v>
      </c>
      <c r="E124" s="215">
        <v>10</v>
      </c>
      <c r="F124" s="226">
        <v>17.38420509270477</v>
      </c>
      <c r="G124" s="215">
        <v>10</v>
      </c>
      <c r="H124" s="226">
        <v>11.588027546515796</v>
      </c>
      <c r="I124" s="215">
        <v>10</v>
      </c>
      <c r="J124" s="231"/>
      <c r="K124" s="26"/>
    </row>
    <row r="125" spans="1:11" ht="12">
      <c r="A125" s="241">
        <v>35753.43402777778</v>
      </c>
      <c r="B125" s="226">
        <v>13.224637592471165</v>
      </c>
      <c r="C125" s="215">
        <v>5</v>
      </c>
      <c r="D125" s="226">
        <v>11.722732576219515</v>
      </c>
      <c r="E125" s="215">
        <v>5</v>
      </c>
      <c r="F125" s="226">
        <v>16.14653482112861</v>
      </c>
      <c r="G125" s="215">
        <v>5</v>
      </c>
      <c r="H125" s="226">
        <v>13.4226397958749</v>
      </c>
      <c r="I125" s="215">
        <v>5</v>
      </c>
      <c r="J125" s="231"/>
      <c r="K125" s="26"/>
    </row>
    <row r="126" spans="1:11" ht="12">
      <c r="A126" s="241">
        <v>35782.572916666664</v>
      </c>
      <c r="B126" s="226">
        <v>13.12544734190586</v>
      </c>
      <c r="C126" s="215">
        <v>5</v>
      </c>
      <c r="D126" s="226">
        <v>12.427462058056234</v>
      </c>
      <c r="E126" s="215">
        <v>5</v>
      </c>
      <c r="F126" s="226">
        <v>15.376857199506215</v>
      </c>
      <c r="G126" s="215">
        <v>5</v>
      </c>
      <c r="H126" s="226">
        <v>13.52145424438202</v>
      </c>
      <c r="I126" s="215">
        <v>6.7</v>
      </c>
      <c r="J126" s="231"/>
      <c r="K126" s="26"/>
    </row>
    <row r="127" spans="9:11" ht="12">
      <c r="I127" s="39"/>
      <c r="J127" s="39"/>
      <c r="K127" s="26"/>
    </row>
    <row r="128" spans="9:11" ht="12">
      <c r="I128" s="39"/>
      <c r="J128" s="39"/>
      <c r="K128" s="26"/>
    </row>
    <row r="129" spans="1:11" ht="13.5">
      <c r="A129" s="219" t="s">
        <v>113</v>
      </c>
      <c r="B129" s="219" t="s">
        <v>107</v>
      </c>
      <c r="D129" s="215" t="s">
        <v>408</v>
      </c>
      <c r="J129" s="39"/>
      <c r="K129" s="26"/>
    </row>
    <row r="130" spans="2:11" ht="12">
      <c r="B130" s="273" t="s">
        <v>11</v>
      </c>
      <c r="C130" s="273"/>
      <c r="D130" s="273" t="s">
        <v>12</v>
      </c>
      <c r="E130" s="273"/>
      <c r="F130" s="273" t="s">
        <v>13</v>
      </c>
      <c r="G130" s="273"/>
      <c r="H130" s="273" t="s">
        <v>101</v>
      </c>
      <c r="I130" s="273"/>
      <c r="K130" s="26"/>
    </row>
    <row r="131" spans="2:11" ht="12">
      <c r="B131" s="216" t="s">
        <v>144</v>
      </c>
      <c r="C131" s="215" t="s">
        <v>117</v>
      </c>
      <c r="D131" s="216" t="s">
        <v>144</v>
      </c>
      <c r="E131" s="215" t="s">
        <v>117</v>
      </c>
      <c r="F131" s="216" t="s">
        <v>144</v>
      </c>
      <c r="G131" s="215" t="s">
        <v>117</v>
      </c>
      <c r="H131" s="216" t="s">
        <v>144</v>
      </c>
      <c r="I131" s="215" t="s">
        <v>117</v>
      </c>
      <c r="K131" s="26"/>
    </row>
    <row r="132" spans="1:11" ht="12">
      <c r="A132" s="241">
        <v>35471</v>
      </c>
      <c r="B132" s="226">
        <v>171.7496365323823</v>
      </c>
      <c r="C132" s="215">
        <v>20</v>
      </c>
      <c r="D132" s="226">
        <v>126.94178768298806</v>
      </c>
      <c r="E132" s="215">
        <v>20</v>
      </c>
      <c r="F132" s="226">
        <v>192.4951699756615</v>
      </c>
      <c r="G132" s="215">
        <v>20</v>
      </c>
      <c r="H132" s="226">
        <v>153.7659604279935</v>
      </c>
      <c r="I132" s="215">
        <v>20</v>
      </c>
      <c r="K132" s="26"/>
    </row>
    <row r="133" spans="1:11" ht="12">
      <c r="A133" s="241">
        <v>35487</v>
      </c>
      <c r="B133" s="226">
        <v>146.4222587475684</v>
      </c>
      <c r="C133" s="215">
        <v>20</v>
      </c>
      <c r="D133" s="226">
        <v>146.4222587475684</v>
      </c>
      <c r="E133" s="215">
        <v>20</v>
      </c>
      <c r="F133" s="226">
        <v>184.4860540662038</v>
      </c>
      <c r="G133" s="215">
        <v>20</v>
      </c>
      <c r="H133" s="226">
        <v>153.15493527994587</v>
      </c>
      <c r="I133" s="215">
        <v>20</v>
      </c>
      <c r="J133" s="231"/>
      <c r="K133" s="26"/>
    </row>
    <row r="134" spans="1:11" ht="12">
      <c r="A134" s="241">
        <v>35501</v>
      </c>
      <c r="B134" s="226">
        <v>198.58668925434583</v>
      </c>
      <c r="C134" s="215">
        <v>20</v>
      </c>
      <c r="D134" s="226">
        <v>163.13670123602213</v>
      </c>
      <c r="E134" s="215">
        <v>40</v>
      </c>
      <c r="F134" s="226">
        <v>161.24569389494792</v>
      </c>
      <c r="G134" s="215">
        <v>20</v>
      </c>
      <c r="H134" s="226">
        <v>181.51614275891987</v>
      </c>
      <c r="I134" s="215">
        <v>65</v>
      </c>
      <c r="J134" s="231"/>
      <c r="K134" s="26"/>
    </row>
    <row r="135" spans="1:11" ht="12">
      <c r="A135" s="241">
        <v>35537</v>
      </c>
      <c r="B135" s="226">
        <v>174.65797749696884</v>
      </c>
      <c r="C135" s="215">
        <v>20</v>
      </c>
      <c r="D135" s="226">
        <v>146.4222587475684</v>
      </c>
      <c r="E135" s="215">
        <v>20</v>
      </c>
      <c r="F135" s="226">
        <v>188.47441440245092</v>
      </c>
      <c r="G135" s="215">
        <v>20</v>
      </c>
      <c r="H135" s="226">
        <v>169.34024765598002</v>
      </c>
      <c r="I135" s="215">
        <v>17.5</v>
      </c>
      <c r="J135" s="231"/>
      <c r="K135" s="26"/>
    </row>
    <row r="136" spans="1:11" ht="12">
      <c r="A136" s="241">
        <v>35577</v>
      </c>
      <c r="B136" s="226">
        <v>186.47617454399415</v>
      </c>
      <c r="C136" s="215">
        <v>20</v>
      </c>
      <c r="D136" s="226">
        <v>65.50879393400389</v>
      </c>
      <c r="E136" s="215">
        <v>20</v>
      </c>
      <c r="F136" s="226">
        <v>128.6688006786376</v>
      </c>
      <c r="G136" s="227">
        <v>20</v>
      </c>
      <c r="H136" s="226">
        <v>188.47441440245092</v>
      </c>
      <c r="I136" s="215">
        <v>20</v>
      </c>
      <c r="J136" s="231"/>
      <c r="K136" s="26"/>
    </row>
    <row r="137" spans="1:11" ht="12">
      <c r="A137" s="241">
        <v>35599</v>
      </c>
      <c r="B137" s="226">
        <v>97.40685719618627</v>
      </c>
      <c r="C137" s="215">
        <v>20</v>
      </c>
      <c r="D137" s="226">
        <v>44.87437664656222</v>
      </c>
      <c r="E137" s="215">
        <v>30</v>
      </c>
      <c r="F137" s="228">
        <v>106.92033258783317</v>
      </c>
      <c r="G137" s="227">
        <v>100</v>
      </c>
      <c r="H137" s="226">
        <v>109.75829573546983</v>
      </c>
      <c r="I137" s="215">
        <v>25</v>
      </c>
      <c r="J137" s="231"/>
      <c r="K137" s="26"/>
    </row>
    <row r="138" spans="1:11" ht="12">
      <c r="A138" s="241">
        <v>35620.5</v>
      </c>
      <c r="B138" s="226">
        <v>83.77915204176897</v>
      </c>
      <c r="C138" s="215">
        <v>40</v>
      </c>
      <c r="D138" s="226">
        <v>79.41204125522972</v>
      </c>
      <c r="E138" s="215">
        <v>40</v>
      </c>
      <c r="F138" s="226">
        <v>153.7659604279935</v>
      </c>
      <c r="G138" s="227">
        <v>20</v>
      </c>
      <c r="H138" s="226">
        <v>83.77915204176897</v>
      </c>
      <c r="I138" s="215">
        <v>20</v>
      </c>
      <c r="J138" s="231"/>
      <c r="K138" s="26"/>
    </row>
    <row r="139" spans="1:11" ht="12">
      <c r="A139" s="241">
        <v>35654.520833333336</v>
      </c>
      <c r="B139" s="226">
        <v>85.25456486587909</v>
      </c>
      <c r="C139" s="215">
        <v>20</v>
      </c>
      <c r="D139" s="226">
        <v>73.72878176772647</v>
      </c>
      <c r="E139" s="215">
        <v>20</v>
      </c>
      <c r="F139" s="226">
        <v>108.53856043537859</v>
      </c>
      <c r="G139" s="227">
        <v>20</v>
      </c>
      <c r="H139" s="226">
        <v>86.73976372076848</v>
      </c>
      <c r="I139" s="215">
        <v>20</v>
      </c>
      <c r="J139" s="231"/>
      <c r="K139" s="26"/>
    </row>
    <row r="140" spans="1:11" ht="12">
      <c r="A140" s="241">
        <v>35676.48263888889</v>
      </c>
      <c r="B140" s="226">
        <v>91.2536770498344</v>
      </c>
      <c r="C140" s="215">
        <v>20</v>
      </c>
      <c r="D140" s="226">
        <v>83.77915204176897</v>
      </c>
      <c r="E140" s="215">
        <v>20</v>
      </c>
      <c r="F140" s="228">
        <v>159.36309244123737</v>
      </c>
      <c r="G140" s="227">
        <v>100</v>
      </c>
      <c r="H140" s="226">
        <v>91.63376247482493</v>
      </c>
      <c r="I140" s="215">
        <v>20</v>
      </c>
      <c r="J140" s="231"/>
      <c r="K140" s="26"/>
    </row>
    <row r="141" spans="1:11" ht="12">
      <c r="A141" s="241">
        <v>35711.399305555555</v>
      </c>
      <c r="B141" s="226">
        <v>70.94775871524475</v>
      </c>
      <c r="C141" s="215">
        <v>20</v>
      </c>
      <c r="D141" s="226">
        <v>100.54047373843635</v>
      </c>
      <c r="E141" s="215">
        <v>20</v>
      </c>
      <c r="F141" s="226">
        <v>198.58668925434583</v>
      </c>
      <c r="G141" s="215">
        <v>20</v>
      </c>
      <c r="H141" s="226">
        <v>92.30417261826568</v>
      </c>
      <c r="I141" s="215">
        <v>20</v>
      </c>
      <c r="J141" s="231"/>
      <c r="K141" s="26"/>
    </row>
    <row r="142" spans="1:11" ht="12">
      <c r="A142" s="241">
        <v>35753.43402777778</v>
      </c>
      <c r="B142" s="226">
        <v>118.44079961885897</v>
      </c>
      <c r="C142" s="215">
        <v>20</v>
      </c>
      <c r="D142" s="226">
        <v>94.31116053333227</v>
      </c>
      <c r="E142" s="215">
        <v>20</v>
      </c>
      <c r="F142" s="226">
        <v>172.71701714250958</v>
      </c>
      <c r="G142" s="215">
        <v>20</v>
      </c>
      <c r="H142" s="226">
        <v>121.81426182722129</v>
      </c>
      <c r="I142" s="215">
        <v>20</v>
      </c>
      <c r="J142" s="231"/>
      <c r="K142" s="26"/>
    </row>
    <row r="143" spans="1:11" ht="12">
      <c r="A143" s="241">
        <v>35782.572916666664</v>
      </c>
      <c r="B143" s="226">
        <v>116.76762510557056</v>
      </c>
      <c r="C143" s="215">
        <v>20</v>
      </c>
      <c r="D143" s="226">
        <v>105.31137617686767</v>
      </c>
      <c r="E143" s="215">
        <v>20</v>
      </c>
      <c r="F143" s="226">
        <v>157.48892045701095</v>
      </c>
      <c r="G143" s="215">
        <v>20</v>
      </c>
      <c r="H143" s="226">
        <v>123.51448910952807</v>
      </c>
      <c r="I143" s="215">
        <v>20</v>
      </c>
      <c r="J143" s="231"/>
      <c r="K143" s="26"/>
    </row>
    <row r="144" spans="9:11" ht="12">
      <c r="I144" s="39"/>
      <c r="J144" s="39"/>
      <c r="K144" s="26"/>
    </row>
    <row r="145" spans="1:11" ht="13.5">
      <c r="A145" s="242" t="s">
        <v>113</v>
      </c>
      <c r="B145" s="242" t="s">
        <v>109</v>
      </c>
      <c r="C145" s="228"/>
      <c r="D145" s="227" t="s">
        <v>409</v>
      </c>
      <c r="F145" s="227"/>
      <c r="G145" s="227"/>
      <c r="H145" s="227"/>
      <c r="I145" s="227"/>
      <c r="J145" s="39"/>
      <c r="K145" s="26"/>
    </row>
    <row r="146" spans="2:11" ht="12">
      <c r="B146" s="247" t="s">
        <v>11</v>
      </c>
      <c r="C146" s="247"/>
      <c r="D146" s="248" t="s">
        <v>12</v>
      </c>
      <c r="E146" s="248"/>
      <c r="F146" s="247" t="s">
        <v>13</v>
      </c>
      <c r="G146" s="247"/>
      <c r="H146" s="247" t="s">
        <v>101</v>
      </c>
      <c r="I146" s="247"/>
      <c r="K146" s="26"/>
    </row>
    <row r="147" spans="1:11" s="244" customFormat="1" ht="12">
      <c r="A147" s="215"/>
      <c r="B147" s="243" t="s">
        <v>144</v>
      </c>
      <c r="C147" s="227" t="s">
        <v>117</v>
      </c>
      <c r="D147" s="243" t="s">
        <v>144</v>
      </c>
      <c r="E147" s="227" t="s">
        <v>117</v>
      </c>
      <c r="F147" s="243" t="s">
        <v>144</v>
      </c>
      <c r="G147" s="227" t="s">
        <v>117</v>
      </c>
      <c r="H147" s="243" t="s">
        <v>144</v>
      </c>
      <c r="I147" s="227" t="s">
        <v>117</v>
      </c>
      <c r="K147" s="236"/>
    </row>
    <row r="148" spans="1:11" ht="12">
      <c r="A148" s="225">
        <v>35471</v>
      </c>
      <c r="B148" s="228">
        <v>6.490222053709677</v>
      </c>
      <c r="C148" s="229">
        <v>20</v>
      </c>
      <c r="D148" s="228">
        <v>4.977949153940403</v>
      </c>
      <c r="E148" s="229">
        <v>20</v>
      </c>
      <c r="F148" s="228">
        <v>7.173271578334037</v>
      </c>
      <c r="G148" s="229">
        <v>20</v>
      </c>
      <c r="H148" s="228">
        <v>5.889899864177526</v>
      </c>
      <c r="I148" s="229">
        <v>20</v>
      </c>
      <c r="K148" s="26"/>
    </row>
    <row r="149" spans="1:11" ht="12">
      <c r="A149" s="225">
        <v>35487</v>
      </c>
      <c r="B149" s="228">
        <v>5.642325573757613</v>
      </c>
      <c r="C149" s="229">
        <v>20</v>
      </c>
      <c r="D149" s="228">
        <v>5.642325573757613</v>
      </c>
      <c r="E149" s="229">
        <v>20</v>
      </c>
      <c r="F149" s="228">
        <v>6.910695000976689</v>
      </c>
      <c r="G149" s="229">
        <v>20</v>
      </c>
      <c r="H149" s="228">
        <v>5.869356870066914</v>
      </c>
      <c r="I149" s="229">
        <v>20</v>
      </c>
      <c r="J149" s="231"/>
      <c r="K149" s="26"/>
    </row>
    <row r="150" spans="1:11" ht="12">
      <c r="A150" s="225">
        <v>35501</v>
      </c>
      <c r="B150" s="228">
        <v>7.372083056154704</v>
      </c>
      <c r="C150" s="229">
        <v>20</v>
      </c>
      <c r="D150" s="228">
        <v>6.203722798642502</v>
      </c>
      <c r="E150" s="229">
        <v>40</v>
      </c>
      <c r="F150" s="228">
        <v>6.140575527383056</v>
      </c>
      <c r="G150" s="229">
        <v>20</v>
      </c>
      <c r="H150" s="228">
        <v>6.812975023849755</v>
      </c>
      <c r="I150" s="229">
        <v>65</v>
      </c>
      <c r="J150" s="231"/>
      <c r="K150" s="26"/>
    </row>
    <row r="151" spans="1:11" ht="12">
      <c r="A151" s="225">
        <v>35537</v>
      </c>
      <c r="B151" s="228">
        <v>6.58656331845108</v>
      </c>
      <c r="C151" s="229">
        <v>20</v>
      </c>
      <c r="D151" s="228">
        <v>5.642325573757613</v>
      </c>
      <c r="E151" s="229">
        <v>20</v>
      </c>
      <c r="F151" s="228">
        <v>7.041623103277415</v>
      </c>
      <c r="G151" s="229">
        <v>20</v>
      </c>
      <c r="H151" s="228">
        <v>6.410257652035544</v>
      </c>
      <c r="I151" s="229">
        <f>0.0175*1000</f>
        <v>17.5</v>
      </c>
      <c r="J151" s="231"/>
      <c r="K151" s="26"/>
    </row>
    <row r="152" spans="1:11" ht="12">
      <c r="A152" s="225">
        <v>35577</v>
      </c>
      <c r="B152" s="228">
        <v>6.976068659246523</v>
      </c>
      <c r="C152" s="229">
        <v>20</v>
      </c>
      <c r="D152" s="228">
        <v>2.7857234519310734</v>
      </c>
      <c r="E152" s="229">
        <v>20</v>
      </c>
      <c r="F152" s="228">
        <v>5.037328084389702</v>
      </c>
      <c r="G152" s="229">
        <v>20</v>
      </c>
      <c r="H152" s="228">
        <v>7.041623103277415</v>
      </c>
      <c r="I152" s="229">
        <v>20</v>
      </c>
      <c r="J152" s="231"/>
      <c r="K152" s="26"/>
    </row>
    <row r="153" spans="1:11" ht="12">
      <c r="A153" s="225">
        <v>35599</v>
      </c>
      <c r="B153" s="228">
        <v>3.9456976089443834</v>
      </c>
      <c r="C153" s="229">
        <v>20</v>
      </c>
      <c r="D153" s="228">
        <v>1.9987680402750256</v>
      </c>
      <c r="E153" s="229">
        <v>30</v>
      </c>
      <c r="F153" s="228">
        <v>4.281906945721976</v>
      </c>
      <c r="G153" s="229">
        <v>100</v>
      </c>
      <c r="H153" s="228">
        <v>4.381478464244387</v>
      </c>
      <c r="I153" s="229">
        <f>0.025*1000</f>
        <v>25</v>
      </c>
      <c r="J153" s="231"/>
      <c r="K153" s="26"/>
    </row>
    <row r="154" spans="1:11" ht="12">
      <c r="A154" s="225">
        <v>35620.5</v>
      </c>
      <c r="B154" s="228">
        <v>3.4569075359553194</v>
      </c>
      <c r="C154" s="229">
        <v>40</v>
      </c>
      <c r="D154" s="228">
        <v>3.2982688367840014</v>
      </c>
      <c r="E154" s="229">
        <v>40</v>
      </c>
      <c r="F154" s="228">
        <v>5.889899864177526</v>
      </c>
      <c r="G154" s="229">
        <v>20</v>
      </c>
      <c r="H154" s="228">
        <v>3.4569075359553194</v>
      </c>
      <c r="I154" s="229">
        <v>20</v>
      </c>
      <c r="J154" s="231"/>
      <c r="K154" s="26"/>
    </row>
    <row r="155" spans="1:11" ht="12">
      <c r="A155" s="225">
        <v>35654.520833333336</v>
      </c>
      <c r="B155" s="228">
        <v>3.5102718400906703</v>
      </c>
      <c r="C155" s="229">
        <v>20</v>
      </c>
      <c r="D155" s="228">
        <v>3.0902031418468687</v>
      </c>
      <c r="E155" s="229">
        <v>20</v>
      </c>
      <c r="F155" s="228">
        <v>4.338722495194019</v>
      </c>
      <c r="G155" s="229">
        <v>20</v>
      </c>
      <c r="H155" s="228">
        <v>3.5638759637961046</v>
      </c>
      <c r="I155" s="229">
        <v>20</v>
      </c>
      <c r="J155" s="231"/>
      <c r="K155" s="26"/>
    </row>
    <row r="156" spans="1:11" ht="12">
      <c r="A156" s="225">
        <v>35676.48263888889</v>
      </c>
      <c r="B156" s="228">
        <v>3.7261124686223632</v>
      </c>
      <c r="C156" s="229">
        <v>20</v>
      </c>
      <c r="D156" s="228">
        <v>3.4569075359553194</v>
      </c>
      <c r="E156" s="229">
        <v>20</v>
      </c>
      <c r="F156" s="228">
        <v>6.077618784016169</v>
      </c>
      <c r="G156" s="229">
        <v>100</v>
      </c>
      <c r="H156" s="228">
        <v>3.739727770722882</v>
      </c>
      <c r="I156" s="229">
        <v>20</v>
      </c>
      <c r="J156" s="231"/>
      <c r="K156" s="26"/>
    </row>
    <row r="157" spans="1:11" ht="12">
      <c r="A157" s="225">
        <v>35711.399305555555</v>
      </c>
      <c r="B157" s="228">
        <v>2.9876799245884103</v>
      </c>
      <c r="C157" s="229">
        <v>20</v>
      </c>
      <c r="D157" s="228">
        <v>4.05686690052124</v>
      </c>
      <c r="E157" s="229">
        <v>20</v>
      </c>
      <c r="F157" s="228">
        <v>7.372083056154704</v>
      </c>
      <c r="G157" s="229">
        <v>20</v>
      </c>
      <c r="H157" s="228">
        <v>3.7637261571381315</v>
      </c>
      <c r="I157" s="229">
        <v>20</v>
      </c>
      <c r="J157" s="231"/>
      <c r="K157" s="26"/>
    </row>
    <row r="158" spans="1:11" ht="12">
      <c r="A158" s="225">
        <v>35753.43402777778</v>
      </c>
      <c r="B158" s="228">
        <v>4.684190903305726</v>
      </c>
      <c r="C158" s="229">
        <v>20</v>
      </c>
      <c r="D158" s="228">
        <v>3.835442557003892</v>
      </c>
      <c r="E158" s="229">
        <v>20</v>
      </c>
      <c r="F158" s="228">
        <v>6.522289375376809</v>
      </c>
      <c r="G158" s="229">
        <v>20</v>
      </c>
      <c r="H158" s="228">
        <v>4.801062755476187</v>
      </c>
      <c r="I158" s="229">
        <v>20</v>
      </c>
      <c r="J158" s="231"/>
      <c r="K158" s="26"/>
    </row>
    <row r="159" spans="1:11" ht="12">
      <c r="A159" s="225">
        <v>35782.572916666664</v>
      </c>
      <c r="B159" s="228">
        <v>4.626073902356507</v>
      </c>
      <c r="C159" s="229">
        <v>20</v>
      </c>
      <c r="D159" s="228">
        <v>4.225312389237063</v>
      </c>
      <c r="E159" s="229">
        <v>20</v>
      </c>
      <c r="F159" s="228">
        <v>6.014853378110049</v>
      </c>
      <c r="G159" s="229">
        <v>20</v>
      </c>
      <c r="H159" s="228">
        <v>4.859815458106412</v>
      </c>
      <c r="I159" s="229">
        <v>20</v>
      </c>
      <c r="J159" s="231"/>
      <c r="K159" s="26"/>
    </row>
    <row r="160" spans="9:11" ht="12">
      <c r="I160" s="39"/>
      <c r="J160" s="39"/>
      <c r="K160" s="26"/>
    </row>
    <row r="161" spans="9:11" ht="12">
      <c r="I161" s="39"/>
      <c r="J161" s="39"/>
      <c r="K161" s="26"/>
    </row>
    <row r="162" spans="1:11" ht="13.5">
      <c r="A162" s="219" t="s">
        <v>114</v>
      </c>
      <c r="B162" s="219" t="s">
        <v>107</v>
      </c>
      <c r="D162" s="215" t="s">
        <v>410</v>
      </c>
      <c r="J162" s="39"/>
      <c r="K162" s="26"/>
    </row>
    <row r="163" spans="1:9" s="222" customFormat="1" ht="12">
      <c r="A163" s="215"/>
      <c r="B163" s="273" t="s">
        <v>11</v>
      </c>
      <c r="C163" s="273"/>
      <c r="D163" s="273" t="s">
        <v>12</v>
      </c>
      <c r="E163" s="273"/>
      <c r="F163" s="273" t="s">
        <v>13</v>
      </c>
      <c r="G163" s="273"/>
      <c r="H163" s="273" t="s">
        <v>101</v>
      </c>
      <c r="I163" s="273"/>
    </row>
    <row r="164" spans="1:9" s="236" customFormat="1" ht="12">
      <c r="A164" s="215"/>
      <c r="B164" s="216" t="s">
        <v>144</v>
      </c>
      <c r="C164" s="215" t="s">
        <v>117</v>
      </c>
      <c r="D164" s="216" t="s">
        <v>144</v>
      </c>
      <c r="E164" s="215" t="s">
        <v>117</v>
      </c>
      <c r="F164" s="216" t="s">
        <v>144</v>
      </c>
      <c r="G164" s="215" t="s">
        <v>117</v>
      </c>
      <c r="H164" s="216" t="s">
        <v>144</v>
      </c>
      <c r="I164" s="215" t="s">
        <v>117</v>
      </c>
    </row>
    <row r="165" spans="1:11" ht="12">
      <c r="A165" s="241">
        <v>35471</v>
      </c>
      <c r="B165" s="226"/>
      <c r="D165" s="226"/>
      <c r="F165" s="226"/>
      <c r="H165" s="226"/>
      <c r="K165" s="26"/>
    </row>
    <row r="166" spans="1:11" ht="12">
      <c r="A166" s="241">
        <v>35487</v>
      </c>
      <c r="B166" s="226"/>
      <c r="D166" s="226"/>
      <c r="E166" s="215" t="s">
        <v>121</v>
      </c>
      <c r="F166" s="226"/>
      <c r="H166" s="226"/>
      <c r="J166" s="231"/>
      <c r="K166" s="26"/>
    </row>
    <row r="167" spans="1:11" ht="12">
      <c r="A167" s="241">
        <v>35501</v>
      </c>
      <c r="B167" s="226">
        <v>1303.419939782651</v>
      </c>
      <c r="C167" s="215">
        <v>5</v>
      </c>
      <c r="D167" s="226">
        <v>1188.2063607578066</v>
      </c>
      <c r="E167" s="215">
        <f>0.005*1000</f>
        <v>5</v>
      </c>
      <c r="F167" s="226">
        <v>1181.7040675064447</v>
      </c>
      <c r="G167" s="215">
        <v>5</v>
      </c>
      <c r="H167" s="226">
        <v>1249.4323014119032</v>
      </c>
      <c r="I167" s="215">
        <v>5</v>
      </c>
      <c r="J167" s="231"/>
      <c r="K167" s="26"/>
    </row>
    <row r="168" spans="1:11" ht="12">
      <c r="A168" s="241">
        <v>35537</v>
      </c>
      <c r="B168" s="226"/>
      <c r="D168" s="226"/>
      <c r="F168" s="226"/>
      <c r="H168" s="226"/>
      <c r="J168" s="231"/>
      <c r="K168" s="26"/>
    </row>
    <row r="169" spans="1:11" ht="12">
      <c r="A169" s="241">
        <v>35577</v>
      </c>
      <c r="B169" s="226">
        <v>1265.3862315948095</v>
      </c>
      <c r="C169" s="215">
        <v>5</v>
      </c>
      <c r="D169" s="226">
        <v>773.3876169610604</v>
      </c>
      <c r="E169" s="215">
        <v>5</v>
      </c>
      <c r="F169" s="226">
        <v>1062.6209445810696</v>
      </c>
      <c r="G169" s="215">
        <v>5</v>
      </c>
      <c r="H169" s="226">
        <v>1271.7500154394213</v>
      </c>
      <c r="I169" s="215">
        <v>5</v>
      </c>
      <c r="J169" s="231"/>
      <c r="K169" s="26"/>
    </row>
    <row r="170" spans="1:11" ht="12">
      <c r="A170" s="241">
        <v>35599</v>
      </c>
      <c r="B170" s="226"/>
      <c r="D170" s="226"/>
      <c r="F170" s="226"/>
      <c r="H170" s="226"/>
      <c r="J170" s="231"/>
      <c r="K170" s="26"/>
    </row>
    <row r="171" spans="1:11" ht="12">
      <c r="A171" s="241">
        <v>35620.5</v>
      </c>
      <c r="B171" s="226">
        <v>868.3191388372729</v>
      </c>
      <c r="C171" s="215">
        <v>5</v>
      </c>
      <c r="D171" s="226">
        <v>846.7145636600662</v>
      </c>
      <c r="E171" s="215">
        <v>5</v>
      </c>
      <c r="F171" s="226">
        <v>1155.5806778022193</v>
      </c>
      <c r="G171" s="215">
        <v>5</v>
      </c>
      <c r="H171" s="226">
        <v>868.3191388372729</v>
      </c>
      <c r="I171" s="215">
        <v>5</v>
      </c>
      <c r="J171" s="231"/>
      <c r="K171" s="26"/>
    </row>
    <row r="172" spans="1:11" ht="12">
      <c r="A172" s="241">
        <v>35654.520833333336</v>
      </c>
      <c r="B172" s="226"/>
      <c r="D172" s="226"/>
      <c r="F172" s="226"/>
      <c r="H172" s="226"/>
      <c r="J172" s="231"/>
      <c r="K172" s="26"/>
    </row>
    <row r="173" spans="1:11" ht="12">
      <c r="A173" s="241">
        <v>35676.48263888889</v>
      </c>
      <c r="B173" s="226"/>
      <c r="D173" s="226"/>
      <c r="F173" s="226"/>
      <c r="H173" s="226"/>
      <c r="J173" s="231"/>
      <c r="K173" s="26"/>
    </row>
    <row r="174" spans="1:11" ht="12">
      <c r="A174" s="241">
        <v>35711.399305555555</v>
      </c>
      <c r="B174" s="226">
        <v>802.9712113429276</v>
      </c>
      <c r="C174" s="215">
        <v>5</v>
      </c>
      <c r="D174" s="226">
        <v>946.1432939060188</v>
      </c>
      <c r="E174" s="215">
        <v>5</v>
      </c>
      <c r="F174" s="226">
        <v>1303.419939782651</v>
      </c>
      <c r="G174" s="215">
        <v>5</v>
      </c>
      <c r="H174" s="226">
        <v>908.6970693452985</v>
      </c>
      <c r="I174" s="215">
        <v>5</v>
      </c>
      <c r="J174" s="231"/>
      <c r="K174" s="26"/>
    </row>
    <row r="175" spans="1:11" ht="12">
      <c r="A175" s="241">
        <v>35753.43402777778</v>
      </c>
      <c r="B175" s="226"/>
      <c r="D175" s="226"/>
      <c r="F175" s="226"/>
      <c r="H175" s="226"/>
      <c r="J175" s="231"/>
      <c r="K175" s="26"/>
    </row>
    <row r="176" spans="1:11" ht="12">
      <c r="A176" s="241">
        <v>35782.572916666664</v>
      </c>
      <c r="B176" s="226"/>
      <c r="D176" s="226"/>
      <c r="F176" s="226"/>
      <c r="H176" s="226"/>
      <c r="J176" s="231"/>
      <c r="K176" s="26"/>
    </row>
    <row r="177" spans="9:11" ht="12">
      <c r="I177" s="39"/>
      <c r="J177" s="39"/>
      <c r="K177" s="26"/>
    </row>
    <row r="178" spans="1:11" ht="13.5">
      <c r="A178" s="219" t="s">
        <v>114</v>
      </c>
      <c r="B178" s="219" t="s">
        <v>109</v>
      </c>
      <c r="D178" s="215" t="s">
        <v>411</v>
      </c>
      <c r="J178" s="39"/>
      <c r="K178" s="26"/>
    </row>
    <row r="179" spans="1:9" s="222" customFormat="1" ht="12">
      <c r="A179" s="215"/>
      <c r="B179" s="273" t="s">
        <v>11</v>
      </c>
      <c r="C179" s="273"/>
      <c r="D179" s="273" t="s">
        <v>12</v>
      </c>
      <c r="E179" s="273"/>
      <c r="F179" s="273" t="s">
        <v>13</v>
      </c>
      <c r="G179" s="273"/>
      <c r="H179" s="273" t="s">
        <v>101</v>
      </c>
      <c r="I179" s="273"/>
    </row>
    <row r="180" spans="1:9" s="224" customFormat="1" ht="12">
      <c r="A180" s="215"/>
      <c r="B180" s="216" t="s">
        <v>144</v>
      </c>
      <c r="C180" s="215" t="s">
        <v>117</v>
      </c>
      <c r="D180" s="216" t="s">
        <v>144</v>
      </c>
      <c r="E180" s="215" t="s">
        <v>117</v>
      </c>
      <c r="F180" s="216" t="s">
        <v>144</v>
      </c>
      <c r="G180" s="215" t="s">
        <v>117</v>
      </c>
      <c r="H180" s="216" t="s">
        <v>144</v>
      </c>
      <c r="I180" s="215" t="s">
        <v>117</v>
      </c>
    </row>
    <row r="181" spans="1:11" ht="12">
      <c r="A181" s="241">
        <v>35471</v>
      </c>
      <c r="B181" s="226"/>
      <c r="D181" s="226"/>
      <c r="F181" s="226"/>
      <c r="H181" s="226"/>
      <c r="K181" s="26"/>
    </row>
    <row r="182" spans="1:11" ht="12">
      <c r="A182" s="241">
        <v>35487</v>
      </c>
      <c r="B182" s="226"/>
      <c r="D182" s="226"/>
      <c r="E182" s="215" t="s">
        <v>121</v>
      </c>
      <c r="F182" s="226"/>
      <c r="H182" s="226"/>
      <c r="J182" s="231"/>
      <c r="K182" s="26"/>
    </row>
    <row r="183" spans="1:11" ht="12">
      <c r="A183" s="241">
        <v>35501</v>
      </c>
      <c r="B183" s="226">
        <v>134.6591555427288</v>
      </c>
      <c r="C183" s="215">
        <v>5</v>
      </c>
      <c r="D183" s="226">
        <v>122.75618951849559</v>
      </c>
      <c r="E183" s="215">
        <v>5</v>
      </c>
      <c r="F183" s="226">
        <v>122.08442342715774</v>
      </c>
      <c r="G183" s="215">
        <v>5</v>
      </c>
      <c r="H183" s="226">
        <v>129.0815749251088</v>
      </c>
      <c r="I183" s="215">
        <v>5</v>
      </c>
      <c r="J183" s="231"/>
      <c r="K183" s="26"/>
    </row>
    <row r="184" spans="1:11" ht="12">
      <c r="A184" s="241">
        <v>35537</v>
      </c>
      <c r="B184" s="226"/>
      <c r="D184" s="226"/>
      <c r="F184" s="226"/>
      <c r="H184" s="226"/>
      <c r="J184" s="231"/>
      <c r="K184" s="26"/>
    </row>
    <row r="185" spans="1:11" ht="12">
      <c r="A185" s="241">
        <v>35577</v>
      </c>
      <c r="B185" s="226">
        <v>130.72981023319844</v>
      </c>
      <c r="C185" s="215">
        <v>5</v>
      </c>
      <c r="D185" s="226">
        <v>79.90036075752076</v>
      </c>
      <c r="E185" s="215">
        <v>5</v>
      </c>
      <c r="F185" s="226">
        <v>109.78168638663354</v>
      </c>
      <c r="G185" s="215">
        <v>5</v>
      </c>
      <c r="H185" s="226">
        <v>131.38726661576288</v>
      </c>
      <c r="I185" s="215">
        <v>5</v>
      </c>
      <c r="J185" s="231"/>
      <c r="K185" s="26"/>
    </row>
    <row r="186" spans="1:11" ht="12">
      <c r="A186" s="241">
        <v>35599</v>
      </c>
      <c r="B186" s="226"/>
      <c r="D186" s="226"/>
      <c r="F186" s="226"/>
      <c r="H186" s="226"/>
      <c r="J186" s="231"/>
      <c r="K186" s="26"/>
    </row>
    <row r="187" spans="1:11" ht="12">
      <c r="A187" s="241">
        <v>35620.5</v>
      </c>
      <c r="B187" s="226">
        <v>89.70794324115887</v>
      </c>
      <c r="C187" s="215">
        <v>5</v>
      </c>
      <c r="D187" s="226">
        <v>87.47592747983234</v>
      </c>
      <c r="E187" s="215">
        <v>5</v>
      </c>
      <c r="F187" s="226">
        <v>119.38555908565391</v>
      </c>
      <c r="G187" s="215">
        <v>5</v>
      </c>
      <c r="H187" s="226">
        <v>89.70794324115887</v>
      </c>
      <c r="I187" s="215">
        <v>5</v>
      </c>
      <c r="J187" s="231"/>
      <c r="K187" s="26"/>
    </row>
    <row r="188" spans="1:11" ht="12">
      <c r="A188" s="241">
        <v>35654.520833333336</v>
      </c>
      <c r="B188" s="226"/>
      <c r="D188" s="226"/>
      <c r="F188" s="226"/>
      <c r="H188" s="226"/>
      <c r="J188" s="231"/>
      <c r="K188" s="26"/>
    </row>
    <row r="189" spans="1:11" ht="12">
      <c r="A189" s="241">
        <v>35676.48263888889</v>
      </c>
      <c r="B189" s="226"/>
      <c r="D189" s="226"/>
      <c r="F189" s="226"/>
      <c r="H189" s="226"/>
      <c r="J189" s="231"/>
      <c r="K189" s="26"/>
    </row>
    <row r="190" spans="1:11" ht="12">
      <c r="A190" s="241">
        <v>35711.399305555555</v>
      </c>
      <c r="B190" s="226">
        <v>82.95670638780561</v>
      </c>
      <c r="C190" s="215">
        <v>5</v>
      </c>
      <c r="D190" s="226">
        <v>97.74812636443626</v>
      </c>
      <c r="E190" s="215">
        <v>5</v>
      </c>
      <c r="F190" s="226">
        <v>134.6591555427288</v>
      </c>
      <c r="G190" s="215">
        <v>5</v>
      </c>
      <c r="H190" s="226">
        <v>93.87947526918691</v>
      </c>
      <c r="I190" s="215">
        <v>5</v>
      </c>
      <c r="J190" s="231"/>
      <c r="K190" s="26"/>
    </row>
    <row r="191" spans="1:11" ht="12">
      <c r="A191" s="241">
        <v>35753.43402777778</v>
      </c>
      <c r="B191" s="226"/>
      <c r="D191" s="226"/>
      <c r="F191" s="226"/>
      <c r="H191" s="226"/>
      <c r="J191" s="231"/>
      <c r="K191" s="26"/>
    </row>
    <row r="192" spans="1:11" ht="12">
      <c r="A192" s="241">
        <v>35782.572916666664</v>
      </c>
      <c r="B192" s="226"/>
      <c r="D192" s="226"/>
      <c r="F192" s="226"/>
      <c r="H192" s="226"/>
      <c r="J192" s="231"/>
      <c r="K192" s="26"/>
    </row>
    <row r="193" spans="1:11" ht="12">
      <c r="A193" s="241"/>
      <c r="C193" s="241"/>
      <c r="E193" s="241"/>
      <c r="G193" s="241"/>
      <c r="J193" s="231"/>
      <c r="K193" s="26"/>
    </row>
    <row r="194" spans="9:11" ht="12">
      <c r="I194" s="39"/>
      <c r="J194" s="39"/>
      <c r="K194" s="26"/>
    </row>
    <row r="195" spans="2:11" ht="12">
      <c r="B195" s="219" t="s">
        <v>107</v>
      </c>
      <c r="C195" s="220">
        <v>135</v>
      </c>
      <c r="G195" s="215" t="s">
        <v>118</v>
      </c>
      <c r="I195" s="39"/>
      <c r="J195" s="39"/>
      <c r="K195" s="26"/>
    </row>
    <row r="196" spans="1:11" ht="12">
      <c r="A196" s="219" t="s">
        <v>115</v>
      </c>
      <c r="B196" s="215" t="s">
        <v>119</v>
      </c>
      <c r="D196" s="215" t="s">
        <v>11</v>
      </c>
      <c r="E196" s="215" t="s">
        <v>12</v>
      </c>
      <c r="F196" s="215" t="s">
        <v>13</v>
      </c>
      <c r="G196" s="215" t="s">
        <v>101</v>
      </c>
      <c r="I196" s="39"/>
      <c r="J196" s="39"/>
      <c r="K196" s="26"/>
    </row>
    <row r="197" spans="2:11" ht="12">
      <c r="B197" s="219" t="s">
        <v>109</v>
      </c>
      <c r="C197" s="220">
        <v>17</v>
      </c>
      <c r="G197" s="215" t="s">
        <v>118</v>
      </c>
      <c r="I197" s="39"/>
      <c r="J197" s="39"/>
      <c r="K197" s="26"/>
    </row>
    <row r="198" spans="9:11" ht="12">
      <c r="I198" s="39"/>
      <c r="J198" s="39"/>
      <c r="K198" s="26"/>
    </row>
    <row r="199" spans="9:11" ht="12">
      <c r="I199" s="39"/>
      <c r="J199" s="39"/>
      <c r="K199" s="26"/>
    </row>
    <row r="200" spans="1:11" ht="13.5">
      <c r="A200" s="242" t="s">
        <v>116</v>
      </c>
      <c r="B200" s="242" t="s">
        <v>107</v>
      </c>
      <c r="C200" s="227"/>
      <c r="D200" s="227" t="s">
        <v>412</v>
      </c>
      <c r="E200" s="227"/>
      <c r="G200" s="227"/>
      <c r="H200" s="227"/>
      <c r="I200" s="227"/>
      <c r="J200" s="39"/>
      <c r="K200" s="26"/>
    </row>
    <row r="201" spans="1:9" s="222" customFormat="1" ht="12">
      <c r="A201" s="215"/>
      <c r="B201" s="247" t="s">
        <v>11</v>
      </c>
      <c r="C201" s="247"/>
      <c r="D201" s="247" t="s">
        <v>12</v>
      </c>
      <c r="E201" s="247"/>
      <c r="F201" s="247" t="s">
        <v>13</v>
      </c>
      <c r="G201" s="247"/>
      <c r="H201" s="247" t="s">
        <v>101</v>
      </c>
      <c r="I201" s="247"/>
    </row>
    <row r="202" spans="1:11" s="244" customFormat="1" ht="12">
      <c r="A202" s="215"/>
      <c r="B202" s="243" t="s">
        <v>144</v>
      </c>
      <c r="C202" s="227" t="s">
        <v>117</v>
      </c>
      <c r="D202" s="243" t="s">
        <v>144</v>
      </c>
      <c r="E202" s="227" t="s">
        <v>117</v>
      </c>
      <c r="F202" s="243" t="s">
        <v>144</v>
      </c>
      <c r="G202" s="227" t="s">
        <v>117</v>
      </c>
      <c r="H202" s="243" t="s">
        <v>144</v>
      </c>
      <c r="I202" s="227" t="s">
        <v>117</v>
      </c>
      <c r="K202" s="236"/>
    </row>
    <row r="203" spans="1:11" ht="12">
      <c r="A203" s="225">
        <v>35471</v>
      </c>
      <c r="B203" s="226"/>
      <c r="C203" s="227"/>
      <c r="D203" s="226"/>
      <c r="E203" s="227"/>
      <c r="F203" s="226"/>
      <c r="G203" s="227"/>
      <c r="H203" s="226"/>
      <c r="I203" s="227"/>
      <c r="K203" s="26"/>
    </row>
    <row r="204" spans="1:11" ht="12">
      <c r="A204" s="225">
        <v>35487</v>
      </c>
      <c r="B204" s="226"/>
      <c r="C204" s="227"/>
      <c r="D204" s="226"/>
      <c r="E204" s="227" t="s">
        <v>121</v>
      </c>
      <c r="F204" s="226"/>
      <c r="G204" s="227"/>
      <c r="H204" s="226"/>
      <c r="I204" s="227"/>
      <c r="J204" s="231"/>
      <c r="K204" s="26"/>
    </row>
    <row r="205" spans="1:11" ht="12">
      <c r="A205" s="225">
        <v>35501</v>
      </c>
      <c r="B205" s="226">
        <v>4.422666457838931</v>
      </c>
      <c r="C205" s="227">
        <v>2.5</v>
      </c>
      <c r="D205" s="228">
        <v>3.5869245533945278</v>
      </c>
      <c r="E205" s="227">
        <v>2.5</v>
      </c>
      <c r="F205" s="226">
        <v>3.5426546189313743</v>
      </c>
      <c r="G205" s="227">
        <v>2.5</v>
      </c>
      <c r="H205" s="228">
        <v>4.495594424757425</v>
      </c>
      <c r="I205" s="227">
        <v>2.5</v>
      </c>
      <c r="J205" s="231"/>
      <c r="K205" s="26"/>
    </row>
    <row r="206" spans="1:11" ht="12">
      <c r="A206" s="225">
        <v>35537</v>
      </c>
      <c r="B206" s="226"/>
      <c r="C206" s="227"/>
      <c r="D206" s="226"/>
      <c r="E206" s="227"/>
      <c r="F206" s="226"/>
      <c r="G206" s="227"/>
      <c r="H206" s="228"/>
      <c r="I206" s="227"/>
      <c r="J206" s="231"/>
      <c r="K206" s="26"/>
    </row>
    <row r="207" spans="1:11" ht="12">
      <c r="A207" s="225">
        <v>35577</v>
      </c>
      <c r="B207" s="226">
        <v>4.135967665356274</v>
      </c>
      <c r="C207" s="227">
        <v>2.5</v>
      </c>
      <c r="D207" s="228">
        <v>1.3572360372808119</v>
      </c>
      <c r="E207" s="229">
        <v>2.5</v>
      </c>
      <c r="F207" s="226">
        <v>2.7856626977461443</v>
      </c>
      <c r="G207" s="227">
        <v>2.5</v>
      </c>
      <c r="H207" s="228">
        <v>4.183191599991447</v>
      </c>
      <c r="I207" s="227">
        <v>2.5</v>
      </c>
      <c r="J207" s="231"/>
      <c r="K207" s="26"/>
    </row>
    <row r="208" spans="1:11" ht="12">
      <c r="A208" s="225">
        <v>35599</v>
      </c>
      <c r="B208" s="226"/>
      <c r="C208" s="227"/>
      <c r="D208" s="226"/>
      <c r="E208" s="227"/>
      <c r="F208" s="226"/>
      <c r="G208" s="227"/>
      <c r="H208" s="226"/>
      <c r="I208" s="227"/>
      <c r="J208" s="231"/>
      <c r="K208" s="26"/>
    </row>
    <row r="209" spans="1:11" ht="12">
      <c r="A209" s="225">
        <v>35620.5</v>
      </c>
      <c r="B209" s="226">
        <v>1.763810194885897</v>
      </c>
      <c r="C209" s="229">
        <v>2.5</v>
      </c>
      <c r="D209" s="228">
        <v>1.6660483350174005</v>
      </c>
      <c r="E209" s="229">
        <v>2.5</v>
      </c>
      <c r="F209" s="226">
        <v>3.367883332936231</v>
      </c>
      <c r="G209" s="227">
        <v>2.5</v>
      </c>
      <c r="H209" s="228">
        <v>1.763810194885897</v>
      </c>
      <c r="I209" s="229">
        <v>2.5</v>
      </c>
      <c r="J209" s="231"/>
      <c r="K209" s="26"/>
    </row>
    <row r="210" spans="1:11" ht="12">
      <c r="A210" s="225">
        <v>35654.520833333336</v>
      </c>
      <c r="B210" s="226"/>
      <c r="C210" s="227"/>
      <c r="D210" s="226"/>
      <c r="E210" s="227"/>
      <c r="F210" s="226"/>
      <c r="G210" s="227"/>
      <c r="H210" s="226"/>
      <c r="I210" s="227"/>
      <c r="J210" s="231"/>
      <c r="K210" s="26"/>
    </row>
    <row r="211" spans="1:11" ht="12">
      <c r="A211" s="225">
        <v>35676.48263888889</v>
      </c>
      <c r="B211" s="226"/>
      <c r="C211" s="227"/>
      <c r="D211" s="226"/>
      <c r="E211" s="227"/>
      <c r="F211" s="226"/>
      <c r="G211" s="227"/>
      <c r="H211" s="226"/>
      <c r="I211" s="227"/>
      <c r="J211" s="231"/>
      <c r="K211" s="26"/>
    </row>
    <row r="212" spans="1:11" ht="12">
      <c r="A212" s="225">
        <v>35711.399305555555</v>
      </c>
      <c r="B212" s="226">
        <v>1.4775803414122959</v>
      </c>
      <c r="C212" s="229">
        <v>2.5</v>
      </c>
      <c r="D212" s="228">
        <v>2.141986907556422</v>
      </c>
      <c r="E212" s="229">
        <v>2.5</v>
      </c>
      <c r="F212" s="226">
        <v>4.422666457838931</v>
      </c>
      <c r="G212" s="227">
        <v>2.5</v>
      </c>
      <c r="H212" s="228">
        <v>1.9549066698099793</v>
      </c>
      <c r="I212" s="229">
        <v>2.5</v>
      </c>
      <c r="J212" s="231"/>
      <c r="K212" s="26"/>
    </row>
    <row r="213" spans="1:11" ht="12">
      <c r="A213" s="225">
        <v>35753.43402777778</v>
      </c>
      <c r="B213" s="226"/>
      <c r="C213" s="227"/>
      <c r="D213" s="226"/>
      <c r="E213" s="227"/>
      <c r="F213" s="226"/>
      <c r="G213" s="227"/>
      <c r="H213" s="226"/>
      <c r="I213" s="227"/>
      <c r="J213" s="231"/>
      <c r="K213" s="26"/>
    </row>
    <row r="214" spans="1:11" ht="12">
      <c r="A214" s="225">
        <v>35782.572916666664</v>
      </c>
      <c r="B214" s="226"/>
      <c r="C214" s="227"/>
      <c r="D214" s="226"/>
      <c r="E214" s="227"/>
      <c r="F214" s="226"/>
      <c r="G214" s="227"/>
      <c r="H214" s="226"/>
      <c r="I214" s="227"/>
      <c r="J214" s="231"/>
      <c r="K214" s="26"/>
    </row>
    <row r="215" spans="9:11" ht="12">
      <c r="I215" s="39"/>
      <c r="J215" s="39"/>
      <c r="K215" s="26"/>
    </row>
    <row r="216" spans="1:11" ht="13.5">
      <c r="A216" s="242" t="s">
        <v>116</v>
      </c>
      <c r="B216" s="242" t="s">
        <v>109</v>
      </c>
      <c r="C216" s="227"/>
      <c r="D216" s="227" t="s">
        <v>413</v>
      </c>
      <c r="F216" s="227"/>
      <c r="G216" s="227"/>
      <c r="H216" s="227"/>
      <c r="I216" s="227"/>
      <c r="J216" s="39"/>
      <c r="K216" s="26"/>
    </row>
    <row r="217" spans="1:9" s="222" customFormat="1" ht="12">
      <c r="A217" s="215"/>
      <c r="B217" s="247" t="s">
        <v>11</v>
      </c>
      <c r="C217" s="247"/>
      <c r="D217" s="247" t="s">
        <v>12</v>
      </c>
      <c r="E217" s="247"/>
      <c r="F217" s="247" t="s">
        <v>13</v>
      </c>
      <c r="G217" s="247"/>
      <c r="H217" s="247" t="s">
        <v>101</v>
      </c>
      <c r="I217" s="247"/>
    </row>
    <row r="218" spans="1:11" s="244" customFormat="1" ht="12">
      <c r="A218" s="215"/>
      <c r="B218" s="243" t="s">
        <v>144</v>
      </c>
      <c r="C218" s="227" t="s">
        <v>117</v>
      </c>
      <c r="D218" s="243" t="s">
        <v>144</v>
      </c>
      <c r="E218" s="227" t="s">
        <v>117</v>
      </c>
      <c r="F218" s="243" t="s">
        <v>144</v>
      </c>
      <c r="G218" s="227" t="s">
        <v>117</v>
      </c>
      <c r="H218" s="243" t="s">
        <v>144</v>
      </c>
      <c r="I218" s="227" t="s">
        <v>117</v>
      </c>
      <c r="K218" s="236"/>
    </row>
    <row r="219" spans="1:11" ht="12">
      <c r="A219" s="225">
        <v>35471</v>
      </c>
      <c r="C219" s="227"/>
      <c r="D219" s="228"/>
      <c r="E219" s="227"/>
      <c r="F219" s="228"/>
      <c r="G219" s="227"/>
      <c r="H219" s="228"/>
      <c r="I219" s="227"/>
      <c r="K219" s="26"/>
    </row>
    <row r="220" spans="1:11" ht="12">
      <c r="A220" s="225">
        <v>35487</v>
      </c>
      <c r="B220" s="227"/>
      <c r="C220" s="227"/>
      <c r="D220" s="228"/>
      <c r="E220" s="227" t="s">
        <v>121</v>
      </c>
      <c r="F220" s="228"/>
      <c r="G220" s="227"/>
      <c r="H220" s="228"/>
      <c r="I220" s="227"/>
      <c r="J220" s="231"/>
      <c r="K220" s="26"/>
    </row>
    <row r="221" spans="1:11" ht="12">
      <c r="A221" s="225">
        <v>35501</v>
      </c>
      <c r="B221" s="228">
        <v>0.695407541380922</v>
      </c>
      <c r="C221" s="229">
        <v>2.5</v>
      </c>
      <c r="D221" s="228">
        <v>0.5639978525565296</v>
      </c>
      <c r="E221" s="229">
        <v>2.5</v>
      </c>
      <c r="F221" s="228">
        <v>0.5570369735086532</v>
      </c>
      <c r="G221" s="229">
        <v>2.5</v>
      </c>
      <c r="H221" s="228">
        <v>0.7068745282441999</v>
      </c>
      <c r="I221" s="229">
        <v>2.5</v>
      </c>
      <c r="J221" s="231"/>
      <c r="K221" s="26"/>
    </row>
    <row r="222" spans="1:11" ht="12">
      <c r="A222" s="225">
        <v>35537</v>
      </c>
      <c r="B222" s="228"/>
      <c r="C222" s="227"/>
      <c r="D222" s="228"/>
      <c r="E222" s="227"/>
      <c r="F222" s="228"/>
      <c r="G222" s="227"/>
      <c r="H222" s="228"/>
      <c r="I222" s="227"/>
      <c r="J222" s="231"/>
      <c r="K222" s="26"/>
    </row>
    <row r="223" spans="1:11" ht="12">
      <c r="A223" s="225">
        <v>35577</v>
      </c>
      <c r="B223" s="228">
        <v>0.6503278356654103</v>
      </c>
      <c r="C223" s="229">
        <v>2.5</v>
      </c>
      <c r="D223" s="228">
        <v>0.2134079485207718</v>
      </c>
      <c r="E223" s="229">
        <v>2.5</v>
      </c>
      <c r="F223" s="228">
        <v>0.43800970889917884</v>
      </c>
      <c r="G223" s="229">
        <v>2.5</v>
      </c>
      <c r="H223" s="228">
        <v>0.6577531933296248</v>
      </c>
      <c r="I223" s="229">
        <v>2.5</v>
      </c>
      <c r="J223" s="231"/>
      <c r="K223" s="26"/>
    </row>
    <row r="224" spans="1:11" ht="12">
      <c r="A224" s="225">
        <v>35599</v>
      </c>
      <c r="B224" s="228"/>
      <c r="C224" s="227"/>
      <c r="D224" s="228"/>
      <c r="E224" s="227"/>
      <c r="F224" s="228"/>
      <c r="G224" s="227"/>
      <c r="H224" s="228"/>
      <c r="I224" s="227"/>
      <c r="J224" s="231"/>
      <c r="K224" s="26"/>
    </row>
    <row r="225" spans="1:11" ht="12">
      <c r="A225" s="225">
        <v>35620.5</v>
      </c>
      <c r="B225" s="228">
        <v>0.2773365169589456</v>
      </c>
      <c r="C225" s="229">
        <v>2.5</v>
      </c>
      <c r="D225" s="228">
        <v>0.26196471913967323</v>
      </c>
      <c r="E225" s="229">
        <v>2.5</v>
      </c>
      <c r="F225" s="228">
        <v>0.5295564317457884</v>
      </c>
      <c r="G225" s="229">
        <v>2.5</v>
      </c>
      <c r="H225" s="228">
        <v>0.2773365169589456</v>
      </c>
      <c r="I225" s="229">
        <v>2.5</v>
      </c>
      <c r="J225" s="231"/>
      <c r="K225" s="26"/>
    </row>
    <row r="226" spans="1:11" ht="12">
      <c r="A226" s="225">
        <v>35654.520833333336</v>
      </c>
      <c r="B226" s="228"/>
      <c r="C226" s="227"/>
      <c r="D226" s="228"/>
      <c r="E226" s="227"/>
      <c r="F226" s="228"/>
      <c r="G226" s="227"/>
      <c r="H226" s="228"/>
      <c r="I226" s="227"/>
      <c r="J226" s="231"/>
      <c r="K226" s="26"/>
    </row>
    <row r="227" spans="1:11" ht="12">
      <c r="A227" s="225">
        <v>35676.48263888889</v>
      </c>
      <c r="B227" s="228"/>
      <c r="C227" s="227"/>
      <c r="D227" s="228"/>
      <c r="E227" s="227"/>
      <c r="F227" s="228"/>
      <c r="G227" s="227"/>
      <c r="H227" s="228"/>
      <c r="I227" s="227"/>
      <c r="J227" s="231"/>
      <c r="K227" s="26"/>
    </row>
    <row r="228" spans="1:11" ht="12">
      <c r="A228" s="225">
        <v>35711.399305555555</v>
      </c>
      <c r="B228" s="228">
        <v>0.2323305458843917</v>
      </c>
      <c r="C228" s="229">
        <v>2.5</v>
      </c>
      <c r="D228" s="228">
        <v>0.3367999516250619</v>
      </c>
      <c r="E228" s="229">
        <v>2.5</v>
      </c>
      <c r="F228" s="228">
        <v>0.695407541380922</v>
      </c>
      <c r="G228" s="229">
        <v>2.5</v>
      </c>
      <c r="H228" s="228">
        <v>0.30738398516853144</v>
      </c>
      <c r="I228" s="229">
        <v>2.5</v>
      </c>
      <c r="J228" s="231"/>
      <c r="K228" s="26"/>
    </row>
    <row r="229" spans="1:11" ht="12">
      <c r="A229" s="225">
        <v>35753.43402777778</v>
      </c>
      <c r="B229" s="227"/>
      <c r="C229" s="227"/>
      <c r="D229" s="228"/>
      <c r="E229" s="227"/>
      <c r="F229" s="228"/>
      <c r="G229" s="227"/>
      <c r="H229" s="228"/>
      <c r="I229" s="227"/>
      <c r="J229" s="231"/>
      <c r="K229" s="26"/>
    </row>
    <row r="230" spans="1:11" ht="12">
      <c r="A230" s="225">
        <v>35782.572916666664</v>
      </c>
      <c r="B230" s="227"/>
      <c r="C230" s="227"/>
      <c r="D230" s="228"/>
      <c r="E230" s="227"/>
      <c r="F230" s="228"/>
      <c r="G230" s="227"/>
      <c r="H230" s="228"/>
      <c r="I230" s="227"/>
      <c r="J230" s="231"/>
      <c r="K230" s="26"/>
    </row>
    <row r="231" spans="9:11" ht="12">
      <c r="I231" s="39"/>
      <c r="J231" s="39"/>
      <c r="K231" s="26"/>
    </row>
    <row r="232" spans="9:11" ht="12">
      <c r="I232" s="39"/>
      <c r="J232" s="39"/>
      <c r="K232" s="26"/>
    </row>
    <row r="233" spans="1:11" ht="13.5">
      <c r="A233" s="219" t="s">
        <v>120</v>
      </c>
      <c r="B233" s="219" t="s">
        <v>107</v>
      </c>
      <c r="D233" s="215" t="s">
        <v>414</v>
      </c>
      <c r="J233" s="39"/>
      <c r="K233" s="26"/>
    </row>
    <row r="234" spans="1:9" s="222" customFormat="1" ht="12">
      <c r="A234" s="215"/>
      <c r="B234" s="273" t="s">
        <v>11</v>
      </c>
      <c r="C234" s="273"/>
      <c r="D234" s="273" t="s">
        <v>12</v>
      </c>
      <c r="E234" s="273"/>
      <c r="F234" s="273" t="s">
        <v>13</v>
      </c>
      <c r="G234" s="273"/>
      <c r="H234" s="273" t="s">
        <v>101</v>
      </c>
      <c r="I234" s="273"/>
    </row>
    <row r="235" spans="1:11" s="244" customFormat="1" ht="12">
      <c r="A235" s="215"/>
      <c r="B235" s="216" t="s">
        <v>144</v>
      </c>
      <c r="C235" s="215" t="s">
        <v>117</v>
      </c>
      <c r="D235" s="216" t="s">
        <v>144</v>
      </c>
      <c r="E235" s="215" t="s">
        <v>117</v>
      </c>
      <c r="F235" s="216" t="s">
        <v>144</v>
      </c>
      <c r="G235" s="215" t="s">
        <v>117</v>
      </c>
      <c r="H235" s="216" t="s">
        <v>144</v>
      </c>
      <c r="I235" s="215" t="s">
        <v>117</v>
      </c>
      <c r="K235" s="236"/>
    </row>
    <row r="236" spans="1:11" ht="12">
      <c r="A236" s="241">
        <v>35471</v>
      </c>
      <c r="B236" s="226"/>
      <c r="D236" s="226"/>
      <c r="F236" s="226"/>
      <c r="H236" s="226"/>
      <c r="I236" s="21"/>
      <c r="K236" s="26"/>
    </row>
    <row r="237" spans="1:11" ht="12">
      <c r="A237" s="241">
        <v>35487</v>
      </c>
      <c r="B237" s="226"/>
      <c r="D237" s="226"/>
      <c r="E237" s="215" t="s">
        <v>121</v>
      </c>
      <c r="F237" s="226"/>
      <c r="H237" s="226"/>
      <c r="I237" s="21"/>
      <c r="J237" s="231"/>
      <c r="K237" s="26"/>
    </row>
    <row r="238" spans="1:11" ht="12">
      <c r="A238" s="241">
        <v>35501</v>
      </c>
      <c r="B238" s="226">
        <v>30.684482502776547</v>
      </c>
      <c r="C238" s="215">
        <v>10</v>
      </c>
      <c r="D238" s="226">
        <v>27.67639167089616</v>
      </c>
      <c r="E238" s="215">
        <v>5</v>
      </c>
      <c r="F238" s="226">
        <v>27.507592223773276</v>
      </c>
      <c r="G238" s="215">
        <v>5</v>
      </c>
      <c r="H238" s="226">
        <v>29.27095229782673</v>
      </c>
      <c r="I238" s="21">
        <v>5</v>
      </c>
      <c r="J238" s="231"/>
      <c r="K238" s="26"/>
    </row>
    <row r="239" spans="1:11" ht="12">
      <c r="A239" s="241">
        <v>35537</v>
      </c>
      <c r="B239" s="226"/>
      <c r="D239" s="226"/>
      <c r="F239" s="226"/>
      <c r="H239" s="226"/>
      <c r="I239" s="21"/>
      <c r="J239" s="231"/>
      <c r="K239" s="26"/>
    </row>
    <row r="240" spans="1:11" ht="12">
      <c r="A240" s="241">
        <v>35577</v>
      </c>
      <c r="B240" s="226">
        <v>29.687948995317296</v>
      </c>
      <c r="C240" s="215">
        <v>20</v>
      </c>
      <c r="D240" s="226">
        <v>17.147170342549384</v>
      </c>
      <c r="E240" s="215">
        <v>10</v>
      </c>
      <c r="F240" s="226">
        <v>24.435616330241068</v>
      </c>
      <c r="G240" s="215">
        <v>2.5</v>
      </c>
      <c r="H240" s="226">
        <v>29.854451727336734</v>
      </c>
      <c r="I240" s="21">
        <f>0.00625*1000</f>
        <v>6.25</v>
      </c>
      <c r="J240" s="231"/>
      <c r="K240" s="26"/>
    </row>
    <row r="241" spans="1:11" ht="12">
      <c r="A241" s="241">
        <v>35599</v>
      </c>
      <c r="B241" s="226"/>
      <c r="D241" s="226"/>
      <c r="F241" s="226"/>
      <c r="H241" s="226"/>
      <c r="I241" s="39"/>
      <c r="J241" s="231"/>
      <c r="K241" s="26"/>
    </row>
    <row r="242" spans="1:11" ht="12">
      <c r="A242" s="241">
        <v>35620.5</v>
      </c>
      <c r="B242" s="226">
        <v>19.509693826092764</v>
      </c>
      <c r="C242" s="215">
        <v>10</v>
      </c>
      <c r="D242" s="226">
        <v>18.969294559168453</v>
      </c>
      <c r="E242" s="215">
        <v>10</v>
      </c>
      <c r="F242" s="226">
        <v>26.83050972281511</v>
      </c>
      <c r="G242" s="215">
        <v>10</v>
      </c>
      <c r="H242" s="226">
        <v>19.509693826092764</v>
      </c>
      <c r="I242" s="21">
        <f>0.01667*1000</f>
        <v>16.67</v>
      </c>
      <c r="J242" s="231"/>
      <c r="K242" s="26"/>
    </row>
    <row r="243" spans="1:11" ht="12">
      <c r="A243" s="241">
        <v>35654.520833333336</v>
      </c>
      <c r="B243" s="226"/>
      <c r="D243" s="226"/>
      <c r="F243" s="226"/>
      <c r="H243" s="226"/>
      <c r="I243" s="21"/>
      <c r="J243" s="231"/>
      <c r="K243" s="26"/>
    </row>
    <row r="244" spans="1:11" ht="12">
      <c r="A244" s="241">
        <v>35676.48263888889</v>
      </c>
      <c r="B244" s="226"/>
      <c r="D244" s="226"/>
      <c r="F244" s="226"/>
      <c r="H244" s="226"/>
      <c r="I244" s="21"/>
      <c r="J244" s="231"/>
      <c r="K244" s="26"/>
    </row>
    <row r="245" spans="1:11" ht="12">
      <c r="A245" s="241">
        <v>35711.399305555555</v>
      </c>
      <c r="B245" s="226">
        <v>17.880015685070415</v>
      </c>
      <c r="C245" s="215">
        <v>10</v>
      </c>
      <c r="D245" s="226">
        <v>21.46891063632243</v>
      </c>
      <c r="E245" s="215">
        <v>20</v>
      </c>
      <c r="F245" s="226">
        <v>30.684482502776547</v>
      </c>
      <c r="G245" s="215">
        <v>20</v>
      </c>
      <c r="H245" s="226">
        <v>20.52379566298994</v>
      </c>
      <c r="I245" s="21">
        <f>0.00833*1000</f>
        <v>8.33</v>
      </c>
      <c r="J245" s="231"/>
      <c r="K245" s="26"/>
    </row>
    <row r="246" spans="1:11" ht="12">
      <c r="A246" s="241">
        <v>35753.43402777778</v>
      </c>
      <c r="B246" s="226"/>
      <c r="D246" s="226"/>
      <c r="F246" s="226"/>
      <c r="H246" s="226"/>
      <c r="I246" s="21"/>
      <c r="J246" s="231"/>
      <c r="K246" s="26"/>
    </row>
    <row r="247" spans="1:11" ht="12">
      <c r="A247" s="241">
        <v>35782.572916666664</v>
      </c>
      <c r="B247" s="226"/>
      <c r="D247" s="226"/>
      <c r="F247" s="226"/>
      <c r="H247" s="226"/>
      <c r="I247" s="21"/>
      <c r="J247" s="231"/>
      <c r="K247" s="26"/>
    </row>
    <row r="248" spans="9:11" ht="12">
      <c r="I248" s="39"/>
      <c r="J248" s="39"/>
      <c r="K248" s="26"/>
    </row>
    <row r="249" spans="1:11" ht="13.5">
      <c r="A249" s="219" t="s">
        <v>120</v>
      </c>
      <c r="B249" s="219" t="s">
        <v>109</v>
      </c>
      <c r="D249" s="215" t="s">
        <v>415</v>
      </c>
      <c r="J249" s="39"/>
      <c r="K249" s="26"/>
    </row>
    <row r="250" spans="1:10" s="222" customFormat="1" ht="12">
      <c r="A250" s="215"/>
      <c r="B250" s="273" t="s">
        <v>11</v>
      </c>
      <c r="C250" s="273"/>
      <c r="D250" s="273" t="s">
        <v>12</v>
      </c>
      <c r="E250" s="273"/>
      <c r="F250" s="273" t="s">
        <v>13</v>
      </c>
      <c r="G250" s="273"/>
      <c r="H250" s="273" t="s">
        <v>101</v>
      </c>
      <c r="I250" s="273"/>
      <c r="J250" s="245"/>
    </row>
    <row r="251" spans="1:10" s="236" customFormat="1" ht="12">
      <c r="A251" s="215"/>
      <c r="B251" s="216" t="s">
        <v>144</v>
      </c>
      <c r="C251" s="215" t="s">
        <v>117</v>
      </c>
      <c r="D251" s="216" t="s">
        <v>144</v>
      </c>
      <c r="E251" s="215" t="s">
        <v>117</v>
      </c>
      <c r="F251" s="216" t="s">
        <v>144</v>
      </c>
      <c r="G251" s="215" t="s">
        <v>117</v>
      </c>
      <c r="H251" s="216" t="s">
        <v>144</v>
      </c>
      <c r="I251" s="215" t="s">
        <v>117</v>
      </c>
      <c r="J251" s="235"/>
    </row>
    <row r="252" spans="1:11" ht="12">
      <c r="A252" s="241">
        <v>35471</v>
      </c>
      <c r="B252" s="226"/>
      <c r="D252" s="226"/>
      <c r="F252" s="226"/>
      <c r="H252" s="226"/>
      <c r="I252" s="21"/>
      <c r="J252" s="231"/>
      <c r="K252" s="26"/>
    </row>
    <row r="253" spans="1:11" ht="12">
      <c r="A253" s="241">
        <v>35487</v>
      </c>
      <c r="B253" s="226"/>
      <c r="D253" s="226"/>
      <c r="E253" s="215" t="s">
        <v>121</v>
      </c>
      <c r="F253" s="226"/>
      <c r="H253" s="226"/>
      <c r="I253" s="21"/>
      <c r="J253" s="231"/>
      <c r="K253" s="26"/>
    </row>
    <row r="254" spans="1:11" ht="12">
      <c r="A254" s="241">
        <v>35501</v>
      </c>
      <c r="B254" s="226">
        <v>155.33080536822538</v>
      </c>
      <c r="C254" s="215">
        <v>10</v>
      </c>
      <c r="D254" s="226">
        <v>140.10326579689723</v>
      </c>
      <c r="E254" s="215">
        <v>5</v>
      </c>
      <c r="F254" s="226">
        <v>139.24877023664342</v>
      </c>
      <c r="G254" s="215">
        <v>5</v>
      </c>
      <c r="H254" s="226">
        <v>148.5</v>
      </c>
      <c r="I254" s="21">
        <f>0.005*1000</f>
        <v>5</v>
      </c>
      <c r="J254" s="231"/>
      <c r="K254" s="26"/>
    </row>
    <row r="255" spans="1:11" ht="12">
      <c r="A255" s="241">
        <v>35537</v>
      </c>
      <c r="B255" s="226"/>
      <c r="D255" s="226"/>
      <c r="F255" s="226"/>
      <c r="H255" s="226"/>
      <c r="I255" s="21"/>
      <c r="J255" s="231"/>
      <c r="K255" s="26"/>
    </row>
    <row r="256" spans="1:11" ht="12">
      <c r="A256" s="241">
        <v>35577</v>
      </c>
      <c r="B256" s="226">
        <v>150.28615935615522</v>
      </c>
      <c r="C256" s="215">
        <v>20</v>
      </c>
      <c r="D256" s="226">
        <v>86.80230402625601</v>
      </c>
      <c r="E256" s="215">
        <v>10</v>
      </c>
      <c r="F256" s="226">
        <v>123.6978320850564</v>
      </c>
      <c r="G256" s="215">
        <v>25</v>
      </c>
      <c r="H256" s="226">
        <v>152</v>
      </c>
      <c r="I256" s="21">
        <f>0.00625*1000</f>
        <v>6.25</v>
      </c>
      <c r="J256" s="231"/>
      <c r="K256" s="26"/>
    </row>
    <row r="257" spans="1:11" ht="12">
      <c r="A257" s="241">
        <v>35599</v>
      </c>
      <c r="B257" s="226"/>
      <c r="D257" s="226"/>
      <c r="F257" s="226"/>
      <c r="H257" s="226"/>
      <c r="I257" s="39"/>
      <c r="J257" s="231"/>
      <c r="K257" s="26"/>
    </row>
    <row r="258" spans="1:11" ht="12">
      <c r="A258" s="241">
        <v>35620.5</v>
      </c>
      <c r="B258" s="226">
        <v>98.76185639501216</v>
      </c>
      <c r="C258" s="215">
        <v>10</v>
      </c>
      <c r="D258" s="226">
        <v>96.02625043052659</v>
      </c>
      <c r="E258" s="215">
        <v>10</v>
      </c>
      <c r="F258" s="226">
        <v>135.82124721535578</v>
      </c>
      <c r="G258" s="215">
        <v>10</v>
      </c>
      <c r="H258" s="226">
        <v>92</v>
      </c>
      <c r="I258" s="21">
        <f>0.01667*1000</f>
        <v>16.67</v>
      </c>
      <c r="J258" s="231"/>
      <c r="K258" s="26"/>
    </row>
    <row r="259" spans="1:11" ht="12">
      <c r="A259" s="241">
        <v>35654.520833333336</v>
      </c>
      <c r="B259" s="226"/>
      <c r="D259" s="226"/>
      <c r="F259" s="226"/>
      <c r="H259" s="226"/>
      <c r="I259" s="21"/>
      <c r="J259" s="231"/>
      <c r="K259" s="26"/>
    </row>
    <row r="260" spans="1:11" ht="12">
      <c r="A260" s="241">
        <v>35676.48263888889</v>
      </c>
      <c r="B260" s="226"/>
      <c r="D260" s="226"/>
      <c r="F260" s="226"/>
      <c r="H260" s="226"/>
      <c r="I260" s="21"/>
      <c r="J260" s="231"/>
      <c r="K260" s="26"/>
    </row>
    <row r="261" spans="1:11" ht="12">
      <c r="A261" s="241">
        <v>35711.399305555555</v>
      </c>
      <c r="B261" s="226">
        <v>90.51210937343252</v>
      </c>
      <c r="C261" s="215">
        <v>10</v>
      </c>
      <c r="D261" s="226">
        <v>108.67979211370661</v>
      </c>
      <c r="E261" s="215">
        <v>20</v>
      </c>
      <c r="F261" s="226">
        <v>155.33080536822538</v>
      </c>
      <c r="G261" s="215">
        <v>20</v>
      </c>
      <c r="H261" s="226">
        <v>97.67</v>
      </c>
      <c r="I261" s="21">
        <f>0.00833*1000</f>
        <v>8.33</v>
      </c>
      <c r="J261" s="231"/>
      <c r="K261" s="26"/>
    </row>
    <row r="262" spans="1:11" ht="12">
      <c r="A262" s="241">
        <v>35753.43402777778</v>
      </c>
      <c r="B262" s="226"/>
      <c r="D262" s="226"/>
      <c r="F262" s="226"/>
      <c r="H262" s="226"/>
      <c r="I262" s="21"/>
      <c r="J262" s="231"/>
      <c r="K262" s="26"/>
    </row>
    <row r="263" spans="1:11" ht="12">
      <c r="A263" s="241">
        <v>35782.572916666664</v>
      </c>
      <c r="B263" s="226"/>
      <c r="D263" s="226"/>
      <c r="F263" s="226"/>
      <c r="H263" s="226"/>
      <c r="I263" s="21"/>
      <c r="J263" s="231"/>
      <c r="K263" s="26"/>
    </row>
    <row r="264" spans="1:11" ht="12">
      <c r="A264" s="39"/>
      <c r="B264" s="39"/>
      <c r="C264" s="39"/>
      <c r="D264" s="246"/>
      <c r="E264" s="246"/>
      <c r="F264" s="39"/>
      <c r="G264" s="39"/>
      <c r="H264" s="39"/>
      <c r="I264" s="39"/>
      <c r="J264" s="39"/>
      <c r="K264" s="26"/>
    </row>
    <row r="265" spans="1:11" ht="12">
      <c r="A265" s="39"/>
      <c r="B265" s="39"/>
      <c r="C265" s="39"/>
      <c r="D265" s="246"/>
      <c r="E265" s="246"/>
      <c r="F265" s="39"/>
      <c r="G265" s="39"/>
      <c r="H265" s="39"/>
      <c r="I265" s="39"/>
      <c r="J265" s="39"/>
      <c r="K265" s="26"/>
    </row>
    <row r="266" spans="1:11" ht="12">
      <c r="A266" s="39"/>
      <c r="B266" s="39"/>
      <c r="C266" s="39"/>
      <c r="D266" s="246"/>
      <c r="E266" s="246"/>
      <c r="F266" s="39"/>
      <c r="G266" s="39"/>
      <c r="H266" s="39"/>
      <c r="I266" s="39"/>
      <c r="J266" s="39"/>
      <c r="K266" s="26"/>
    </row>
    <row r="267" spans="1:11" ht="12">
      <c r="A267" s="39"/>
      <c r="B267" s="39"/>
      <c r="C267" s="39"/>
      <c r="D267" s="246"/>
      <c r="E267" s="21"/>
      <c r="F267" s="39"/>
      <c r="G267" s="39"/>
      <c r="H267" s="39"/>
      <c r="I267" s="39"/>
      <c r="J267" s="39"/>
      <c r="K267" s="26"/>
    </row>
    <row r="268" spans="1:11" ht="12">
      <c r="A268" s="39"/>
      <c r="B268" s="39"/>
      <c r="C268" s="39"/>
      <c r="D268" s="246"/>
      <c r="E268" s="21"/>
      <c r="F268" s="39"/>
      <c r="G268" s="39"/>
      <c r="H268" s="39"/>
      <c r="I268" s="39"/>
      <c r="J268" s="39"/>
      <c r="K268" s="26"/>
    </row>
    <row r="269" spans="1:11" ht="12">
      <c r="A269" s="39"/>
      <c r="B269" s="39"/>
      <c r="C269" s="39"/>
      <c r="D269" s="21"/>
      <c r="E269" s="21"/>
      <c r="F269" s="39"/>
      <c r="G269" s="39"/>
      <c r="H269" s="39"/>
      <c r="I269" s="39"/>
      <c r="J269" s="39"/>
      <c r="K269" s="26"/>
    </row>
    <row r="270" spans="1:11" ht="12">
      <c r="A270" s="39"/>
      <c r="B270" s="39"/>
      <c r="C270" s="39"/>
      <c r="D270" s="21"/>
      <c r="E270" s="21"/>
      <c r="F270" s="39"/>
      <c r="G270" s="39"/>
      <c r="H270" s="39"/>
      <c r="I270" s="39"/>
      <c r="J270" s="39"/>
      <c r="K270" s="26"/>
    </row>
    <row r="271" spans="1:11" ht="12">
      <c r="A271" s="39"/>
      <c r="B271" s="39"/>
      <c r="C271" s="39"/>
      <c r="D271" s="21"/>
      <c r="E271" s="21"/>
      <c r="F271" s="39"/>
      <c r="G271" s="39"/>
      <c r="H271" s="39"/>
      <c r="I271" s="39"/>
      <c r="J271" s="39"/>
      <c r="K271" s="26"/>
    </row>
    <row r="272" spans="1:11" ht="12">
      <c r="A272" s="39"/>
      <c r="B272" s="39"/>
      <c r="C272" s="39"/>
      <c r="D272" s="230"/>
      <c r="E272" s="21"/>
      <c r="F272" s="39"/>
      <c r="G272" s="39"/>
      <c r="H272" s="39"/>
      <c r="I272" s="39"/>
      <c r="J272" s="39"/>
      <c r="K272" s="26"/>
    </row>
    <row r="273" spans="1:11" ht="12">
      <c r="A273" s="39"/>
      <c r="B273" s="39"/>
      <c r="C273" s="39"/>
      <c r="D273" s="230"/>
      <c r="E273" s="21"/>
      <c r="F273" s="39"/>
      <c r="G273" s="39"/>
      <c r="H273" s="39"/>
      <c r="I273" s="39"/>
      <c r="J273" s="39"/>
      <c r="K273" s="26"/>
    </row>
    <row r="274" spans="1:11" ht="12">
      <c r="A274" s="39"/>
      <c r="B274" s="39"/>
      <c r="C274" s="39"/>
      <c r="D274" s="230"/>
      <c r="E274" s="21"/>
      <c r="F274" s="39"/>
      <c r="G274" s="39"/>
      <c r="H274" s="39"/>
      <c r="I274" s="39"/>
      <c r="J274" s="39"/>
      <c r="K274" s="26"/>
    </row>
    <row r="275" spans="1:11" ht="12">
      <c r="A275" s="39"/>
      <c r="B275" s="39"/>
      <c r="C275" s="39"/>
      <c r="D275" s="233"/>
      <c r="E275" s="21"/>
      <c r="F275" s="39"/>
      <c r="G275" s="39"/>
      <c r="H275" s="39"/>
      <c r="I275" s="39"/>
      <c r="J275" s="39"/>
      <c r="K275" s="26"/>
    </row>
    <row r="276" spans="1:11" ht="12">
      <c r="A276" s="39"/>
      <c r="B276" s="39"/>
      <c r="C276" s="39"/>
      <c r="D276" s="20"/>
      <c r="E276" s="21"/>
      <c r="F276" s="39"/>
      <c r="G276" s="39"/>
      <c r="H276" s="39"/>
      <c r="I276" s="39"/>
      <c r="J276" s="39"/>
      <c r="K276" s="26"/>
    </row>
    <row r="277" spans="1:11" ht="12">
      <c r="A277" s="39"/>
      <c r="B277" s="39"/>
      <c r="C277" s="39"/>
      <c r="D277" s="20"/>
      <c r="E277" s="39"/>
      <c r="F277" s="39"/>
      <c r="G277" s="39"/>
      <c r="H277" s="39"/>
      <c r="I277" s="39"/>
      <c r="J277" s="39"/>
      <c r="K277" s="26"/>
    </row>
    <row r="278" spans="1:11" ht="12">
      <c r="A278" s="39"/>
      <c r="B278" s="39"/>
      <c r="C278" s="39"/>
      <c r="D278" s="20"/>
      <c r="E278" s="21"/>
      <c r="F278" s="39"/>
      <c r="G278" s="39"/>
      <c r="H278" s="39"/>
      <c r="I278" s="39"/>
      <c r="J278" s="39"/>
      <c r="K278" s="26"/>
    </row>
    <row r="279" spans="1:11" ht="12">
      <c r="A279" s="39"/>
      <c r="B279" s="39"/>
      <c r="C279" s="39"/>
      <c r="D279" s="20"/>
      <c r="E279" s="21"/>
      <c r="F279" s="39"/>
      <c r="G279" s="39"/>
      <c r="H279" s="39"/>
      <c r="I279" s="39"/>
      <c r="J279" s="39"/>
      <c r="K279" s="26"/>
    </row>
    <row r="280" spans="1:11" ht="12">
      <c r="A280" s="39"/>
      <c r="B280" s="39"/>
      <c r="C280" s="39"/>
      <c r="D280" s="20"/>
      <c r="E280" s="21"/>
      <c r="F280" s="39"/>
      <c r="G280" s="39"/>
      <c r="H280" s="39"/>
      <c r="I280" s="39"/>
      <c r="J280" s="39"/>
      <c r="K280" s="26"/>
    </row>
    <row r="281" spans="1:10" ht="12">
      <c r="A281" s="218"/>
      <c r="B281" s="218"/>
      <c r="C281" s="218"/>
      <c r="D281" s="20"/>
      <c r="E281" s="21"/>
      <c r="F281" s="218"/>
      <c r="G281" s="218"/>
      <c r="H281" s="218"/>
      <c r="I281" s="218"/>
      <c r="J281" s="218"/>
    </row>
    <row r="282" spans="1:10" ht="12">
      <c r="A282" s="218"/>
      <c r="B282" s="218"/>
      <c r="C282" s="218"/>
      <c r="D282" s="20"/>
      <c r="E282" s="21"/>
      <c r="F282" s="218"/>
      <c r="G282" s="218"/>
      <c r="H282" s="218"/>
      <c r="I282" s="218"/>
      <c r="J282" s="218"/>
    </row>
    <row r="283" spans="1:10" ht="12">
      <c r="A283" s="218"/>
      <c r="B283" s="218"/>
      <c r="C283" s="218"/>
      <c r="D283" s="20"/>
      <c r="E283" s="21"/>
      <c r="F283" s="218"/>
      <c r="G283" s="218"/>
      <c r="H283" s="218"/>
      <c r="I283" s="218"/>
      <c r="J283" s="218"/>
    </row>
    <row r="284" spans="1:10" ht="12">
      <c r="A284" s="218"/>
      <c r="B284" s="218"/>
      <c r="C284" s="218"/>
      <c r="D284" s="218"/>
      <c r="E284" s="218"/>
      <c r="F284" s="218"/>
      <c r="G284" s="218"/>
      <c r="H284" s="218"/>
      <c r="I284" s="218"/>
      <c r="J284" s="218"/>
    </row>
    <row r="285" spans="1:10" ht="12">
      <c r="A285" s="218"/>
      <c r="B285" s="218"/>
      <c r="C285" s="218"/>
      <c r="F285" s="218"/>
      <c r="G285" s="218"/>
      <c r="H285" s="218"/>
      <c r="I285" s="218"/>
      <c r="J285" s="218"/>
    </row>
    <row r="286" spans="1:10" ht="12">
      <c r="A286" s="218"/>
      <c r="B286" s="218"/>
      <c r="C286" s="218"/>
      <c r="F286" s="218"/>
      <c r="G286" s="218"/>
      <c r="H286" s="218"/>
      <c r="I286" s="218"/>
      <c r="J286" s="218"/>
    </row>
    <row r="287" spans="1:10" ht="12">
      <c r="A287" s="218"/>
      <c r="B287" s="218"/>
      <c r="C287" s="218"/>
      <c r="F287" s="218"/>
      <c r="G287" s="218"/>
      <c r="H287" s="218"/>
      <c r="I287" s="218"/>
      <c r="J287" s="218"/>
    </row>
    <row r="288" spans="1:10" ht="12">
      <c r="A288" s="218"/>
      <c r="B288" s="218"/>
      <c r="C288" s="218"/>
      <c r="D288" s="218"/>
      <c r="E288" s="218"/>
      <c r="F288" s="218"/>
      <c r="G288" s="218"/>
      <c r="H288" s="218"/>
      <c r="I288" s="218"/>
      <c r="J288" s="218"/>
    </row>
    <row r="289" spans="1:10" ht="12">
      <c r="A289" s="218"/>
      <c r="B289" s="218"/>
      <c r="C289" s="218"/>
      <c r="D289" s="218"/>
      <c r="E289" s="218"/>
      <c r="F289" s="218"/>
      <c r="G289" s="218"/>
      <c r="H289" s="218"/>
      <c r="I289" s="218"/>
      <c r="J289" s="218"/>
    </row>
    <row r="290" spans="1:10" ht="12">
      <c r="A290" s="218"/>
      <c r="B290" s="218"/>
      <c r="C290" s="218"/>
      <c r="D290" s="218"/>
      <c r="E290" s="218"/>
      <c r="F290" s="218"/>
      <c r="G290" s="218"/>
      <c r="H290" s="218"/>
      <c r="I290" s="218"/>
      <c r="J290" s="218"/>
    </row>
    <row r="291" spans="1:10" ht="12">
      <c r="A291" s="218"/>
      <c r="B291" s="218"/>
      <c r="C291" s="218"/>
      <c r="D291" s="218"/>
      <c r="E291" s="218"/>
      <c r="F291" s="218"/>
      <c r="G291" s="218"/>
      <c r="H291" s="218"/>
      <c r="I291" s="218"/>
      <c r="J291" s="218"/>
    </row>
    <row r="292" spans="1:10" ht="12">
      <c r="A292" s="218"/>
      <c r="B292" s="218"/>
      <c r="C292" s="218"/>
      <c r="D292" s="218"/>
      <c r="E292" s="218"/>
      <c r="F292" s="218"/>
      <c r="G292" s="218"/>
      <c r="H292" s="218"/>
      <c r="I292" s="218"/>
      <c r="J292" s="218"/>
    </row>
    <row r="293" spans="1:10" ht="12">
      <c r="A293" s="218"/>
      <c r="B293" s="218"/>
      <c r="C293" s="218"/>
      <c r="D293" s="218"/>
      <c r="E293" s="218"/>
      <c r="F293" s="218"/>
      <c r="G293" s="218"/>
      <c r="H293" s="218"/>
      <c r="I293" s="218"/>
      <c r="J293" s="218"/>
    </row>
    <row r="294" spans="1:10" ht="12">
      <c r="A294" s="218"/>
      <c r="B294" s="218"/>
      <c r="C294" s="218"/>
      <c r="D294" s="218"/>
      <c r="E294" s="218"/>
      <c r="F294" s="218"/>
      <c r="G294" s="218"/>
      <c r="H294" s="218"/>
      <c r="I294" s="218"/>
      <c r="J294" s="218"/>
    </row>
    <row r="295" spans="1:10" ht="12">
      <c r="A295" s="218"/>
      <c r="B295" s="218"/>
      <c r="C295" s="218"/>
      <c r="D295" s="218"/>
      <c r="E295" s="218"/>
      <c r="F295" s="218"/>
      <c r="G295" s="218"/>
      <c r="H295" s="218"/>
      <c r="I295" s="218"/>
      <c r="J295" s="218"/>
    </row>
    <row r="296" spans="1:10" ht="12">
      <c r="A296" s="218"/>
      <c r="B296" s="218"/>
      <c r="C296" s="218"/>
      <c r="D296" s="218"/>
      <c r="E296" s="218"/>
      <c r="F296" s="218"/>
      <c r="G296" s="218"/>
      <c r="H296" s="218"/>
      <c r="I296" s="218"/>
      <c r="J296" s="218"/>
    </row>
    <row r="297" spans="1:10" ht="12">
      <c r="A297" s="218"/>
      <c r="B297" s="218"/>
      <c r="C297" s="218"/>
      <c r="D297" s="218"/>
      <c r="E297" s="218"/>
      <c r="F297" s="218"/>
      <c r="G297" s="218"/>
      <c r="H297" s="218"/>
      <c r="I297" s="218"/>
      <c r="J297" s="218"/>
    </row>
    <row r="298" spans="1:10" ht="12">
      <c r="A298" s="218"/>
      <c r="B298" s="218"/>
      <c r="C298" s="218"/>
      <c r="D298" s="218"/>
      <c r="E298" s="218"/>
      <c r="F298" s="218"/>
      <c r="G298" s="218"/>
      <c r="H298" s="218"/>
      <c r="I298" s="218"/>
      <c r="J298" s="218"/>
    </row>
    <row r="299" spans="1:10" ht="12">
      <c r="A299" s="218"/>
      <c r="B299" s="218"/>
      <c r="C299" s="218"/>
      <c r="D299" s="218"/>
      <c r="E299" s="218"/>
      <c r="F299" s="218"/>
      <c r="G299" s="218"/>
      <c r="H299" s="218"/>
      <c r="I299" s="218"/>
      <c r="J299" s="218"/>
    </row>
    <row r="300" spans="1:10" ht="12">
      <c r="A300" s="218"/>
      <c r="B300" s="218"/>
      <c r="C300" s="218"/>
      <c r="D300" s="218"/>
      <c r="E300" s="218"/>
      <c r="F300" s="218"/>
      <c r="G300" s="218"/>
      <c r="H300" s="218"/>
      <c r="I300" s="218"/>
      <c r="J300" s="218"/>
    </row>
    <row r="301" spans="1:10" ht="12">
      <c r="A301" s="218"/>
      <c r="B301" s="218"/>
      <c r="C301" s="218"/>
      <c r="D301" s="218"/>
      <c r="E301" s="218"/>
      <c r="F301" s="218"/>
      <c r="G301" s="218"/>
      <c r="H301" s="218"/>
      <c r="I301" s="218"/>
      <c r="J301" s="218"/>
    </row>
    <row r="302" spans="1:10" ht="12">
      <c r="A302" s="218"/>
      <c r="B302" s="218"/>
      <c r="C302" s="218"/>
      <c r="D302" s="218"/>
      <c r="E302" s="218"/>
      <c r="F302" s="218"/>
      <c r="G302" s="218"/>
      <c r="H302" s="218"/>
      <c r="I302" s="218"/>
      <c r="J302" s="218"/>
    </row>
    <row r="303" spans="1:10" ht="12">
      <c r="A303" s="218"/>
      <c r="B303" s="218"/>
      <c r="C303" s="218"/>
      <c r="D303" s="218"/>
      <c r="E303" s="218"/>
      <c r="F303" s="218"/>
      <c r="G303" s="218"/>
      <c r="H303" s="218"/>
      <c r="I303" s="218"/>
      <c r="J303" s="218"/>
    </row>
    <row r="304" spans="1:10" ht="12">
      <c r="A304" s="218"/>
      <c r="B304" s="218"/>
      <c r="C304" s="218"/>
      <c r="D304" s="218"/>
      <c r="E304" s="218"/>
      <c r="F304" s="218"/>
      <c r="G304" s="218"/>
      <c r="H304" s="218"/>
      <c r="I304" s="218"/>
      <c r="J304" s="218"/>
    </row>
    <row r="305" spans="1:10" ht="12">
      <c r="A305" s="218"/>
      <c r="B305" s="218"/>
      <c r="C305" s="218"/>
      <c r="D305" s="218"/>
      <c r="E305" s="218"/>
      <c r="F305" s="218"/>
      <c r="G305" s="218"/>
      <c r="H305" s="218"/>
      <c r="I305" s="218"/>
      <c r="J305" s="218"/>
    </row>
    <row r="306" spans="1:10" ht="12">
      <c r="A306" s="218"/>
      <c r="B306" s="218"/>
      <c r="C306" s="218"/>
      <c r="D306" s="218"/>
      <c r="E306" s="218"/>
      <c r="F306" s="218"/>
      <c r="G306" s="218"/>
      <c r="H306" s="218"/>
      <c r="I306" s="218"/>
      <c r="J306" s="218"/>
    </row>
    <row r="307" spans="1:10" ht="12">
      <c r="A307" s="218"/>
      <c r="B307" s="218"/>
      <c r="C307" s="218"/>
      <c r="D307" s="218"/>
      <c r="E307" s="218"/>
      <c r="F307" s="218"/>
      <c r="G307" s="218"/>
      <c r="H307" s="218"/>
      <c r="I307" s="218"/>
      <c r="J307" s="218"/>
    </row>
    <row r="308" spans="1:10" ht="12">
      <c r="A308" s="218"/>
      <c r="B308" s="218"/>
      <c r="C308" s="218"/>
      <c r="D308" s="218"/>
      <c r="E308" s="218"/>
      <c r="F308" s="218"/>
      <c r="G308" s="218"/>
      <c r="H308" s="218"/>
      <c r="I308" s="218"/>
      <c r="J308" s="218"/>
    </row>
    <row r="309" spans="1:10" ht="12">
      <c r="A309" s="218"/>
      <c r="B309" s="218"/>
      <c r="C309" s="218"/>
      <c r="D309" s="218"/>
      <c r="E309" s="218"/>
      <c r="F309" s="218"/>
      <c r="G309" s="218"/>
      <c r="H309" s="218"/>
      <c r="I309" s="218"/>
      <c r="J309" s="218"/>
    </row>
    <row r="310" spans="4:5" ht="12">
      <c r="D310" s="218"/>
      <c r="E310" s="218"/>
    </row>
    <row r="311" spans="4:5" ht="12">
      <c r="D311" s="218"/>
      <c r="E311" s="218"/>
    </row>
    <row r="312" spans="4:5" ht="12">
      <c r="D312" s="218"/>
      <c r="E312" s="218"/>
    </row>
    <row r="313" spans="4:5" ht="12">
      <c r="D313" s="218"/>
      <c r="E313" s="218"/>
    </row>
    <row r="314" spans="4:5" ht="12">
      <c r="D314" s="218"/>
      <c r="E314" s="218"/>
    </row>
    <row r="315" spans="4:5" ht="12">
      <c r="D315" s="218"/>
      <c r="E315" s="218"/>
    </row>
    <row r="316" spans="4:5" ht="12">
      <c r="D316" s="20"/>
      <c r="E316" s="21"/>
    </row>
    <row r="317" spans="4:5" ht="12">
      <c r="D317" s="218"/>
      <c r="E317" s="218"/>
    </row>
    <row r="318" spans="4:5" ht="12">
      <c r="D318" s="218"/>
      <c r="E318" s="218"/>
    </row>
    <row r="319" spans="4:5" ht="12">
      <c r="D319" s="218"/>
      <c r="E319" s="218"/>
    </row>
    <row r="320" spans="4:5" ht="12">
      <c r="D320" s="218"/>
      <c r="E320" s="218"/>
    </row>
    <row r="321" spans="4:5" ht="12">
      <c r="D321" s="20"/>
      <c r="E321" s="21"/>
    </row>
    <row r="322" spans="4:5" ht="12">
      <c r="D322" s="20"/>
      <c r="E322" s="21"/>
    </row>
    <row r="323" spans="4:5" ht="12">
      <c r="D323" s="20"/>
      <c r="E323" s="21"/>
    </row>
    <row r="324" spans="4:5" ht="12">
      <c r="D324" s="218"/>
      <c r="E324" s="21"/>
    </row>
    <row r="325" spans="4:5" ht="12">
      <c r="D325" s="218"/>
      <c r="E325" s="21"/>
    </row>
    <row r="326" spans="4:5" ht="12">
      <c r="D326" s="20"/>
      <c r="E326" s="21"/>
    </row>
    <row r="327" spans="4:5" ht="12">
      <c r="D327" s="20"/>
      <c r="E327" s="21"/>
    </row>
    <row r="328" spans="4:5" ht="12">
      <c r="D328" s="218"/>
      <c r="E328" s="218"/>
    </row>
    <row r="329" spans="4:5" ht="12">
      <c r="D329" s="218"/>
      <c r="E329" s="218"/>
    </row>
    <row r="330" spans="4:5" ht="12">
      <c r="D330" s="218"/>
      <c r="E330" s="218"/>
    </row>
    <row r="331" spans="4:5" ht="12">
      <c r="D331" s="218"/>
      <c r="E331" s="218"/>
    </row>
    <row r="332" spans="4:5" ht="12">
      <c r="D332" s="218"/>
      <c r="E332" s="218"/>
    </row>
    <row r="333" spans="4:5" ht="12">
      <c r="D333" s="218"/>
      <c r="E333" s="218"/>
    </row>
    <row r="334" spans="4:5" ht="12">
      <c r="D334" s="218"/>
      <c r="E334" s="218"/>
    </row>
    <row r="335" spans="4:5" ht="12">
      <c r="D335" s="218"/>
      <c r="E335" s="218"/>
    </row>
    <row r="336" spans="4:5" ht="12">
      <c r="D336" s="218"/>
      <c r="E336" s="218"/>
    </row>
    <row r="337" spans="4:5" ht="12">
      <c r="D337" s="218"/>
      <c r="E337" s="218"/>
    </row>
    <row r="338" spans="4:5" ht="12">
      <c r="D338" s="218"/>
      <c r="E338" s="218"/>
    </row>
    <row r="339" spans="4:5" ht="12">
      <c r="D339" s="218"/>
      <c r="E339" s="218"/>
    </row>
    <row r="340" spans="4:5" ht="12">
      <c r="D340" s="218"/>
      <c r="E340" s="218"/>
    </row>
    <row r="341" spans="4:5" ht="12">
      <c r="D341" s="218"/>
      <c r="E341" s="218"/>
    </row>
    <row r="342" spans="4:5" ht="12">
      <c r="D342" s="218"/>
      <c r="E342" s="218"/>
    </row>
    <row r="343" spans="4:5" ht="12">
      <c r="D343" s="218"/>
      <c r="E343" s="218"/>
    </row>
    <row r="344" spans="4:5" ht="12">
      <c r="D344" s="218"/>
      <c r="E344" s="218"/>
    </row>
    <row r="345" spans="4:5" ht="12">
      <c r="D345" s="218"/>
      <c r="E345" s="218"/>
    </row>
    <row r="346" spans="4:5" ht="12">
      <c r="D346" s="218"/>
      <c r="E346" s="218"/>
    </row>
    <row r="347" spans="4:5" ht="12">
      <c r="D347" s="218"/>
      <c r="E347" s="218"/>
    </row>
    <row r="348" spans="4:5" ht="12">
      <c r="D348" s="218"/>
      <c r="E348" s="218"/>
    </row>
    <row r="349" spans="4:5" ht="12">
      <c r="D349" s="218"/>
      <c r="E349" s="218"/>
    </row>
    <row r="350" spans="4:5" ht="12">
      <c r="D350" s="218"/>
      <c r="E350" s="218"/>
    </row>
    <row r="351" spans="4:5" ht="12">
      <c r="D351" s="218"/>
      <c r="E351" s="218"/>
    </row>
    <row r="352" spans="4:5" ht="12">
      <c r="D352" s="218"/>
      <c r="E352" s="218"/>
    </row>
    <row r="353" spans="4:5" ht="12">
      <c r="D353" s="218"/>
      <c r="E353" s="218"/>
    </row>
    <row r="354" spans="4:5" ht="12">
      <c r="D354" s="218"/>
      <c r="E354" s="218"/>
    </row>
    <row r="355" spans="4:5" ht="12">
      <c r="D355" s="218"/>
      <c r="E355" s="218"/>
    </row>
    <row r="356" spans="4:5" ht="12">
      <c r="D356" s="218"/>
      <c r="E356" s="218"/>
    </row>
    <row r="357" spans="4:5" ht="12">
      <c r="D357" s="218"/>
      <c r="E357" s="218"/>
    </row>
    <row r="358" spans="4:5" ht="12">
      <c r="D358" s="218"/>
      <c r="E358" s="218"/>
    </row>
    <row r="359" spans="4:5" ht="12">
      <c r="D359" s="218"/>
      <c r="E359" s="218"/>
    </row>
    <row r="360" spans="4:5" ht="12">
      <c r="D360" s="218"/>
      <c r="E360" s="218"/>
    </row>
    <row r="361" spans="4:5" ht="12">
      <c r="D361" s="218"/>
      <c r="E361" s="218"/>
    </row>
    <row r="362" spans="4:5" ht="12">
      <c r="D362" s="218"/>
      <c r="E362" s="218"/>
    </row>
    <row r="363" spans="4:5" ht="12">
      <c r="D363" s="218"/>
      <c r="E363" s="218"/>
    </row>
    <row r="364" spans="4:5" ht="12">
      <c r="D364" s="218"/>
      <c r="E364" s="218"/>
    </row>
    <row r="365" spans="4:5" ht="12">
      <c r="D365" s="218"/>
      <c r="E365" s="218"/>
    </row>
    <row r="366" spans="4:5" ht="12">
      <c r="D366" s="218"/>
      <c r="E366" s="218"/>
    </row>
    <row r="367" spans="4:5" ht="12">
      <c r="D367" s="218"/>
      <c r="E367" s="218"/>
    </row>
    <row r="368" spans="4:5" ht="12">
      <c r="D368" s="218"/>
      <c r="E368" s="218"/>
    </row>
    <row r="369" spans="4:5" ht="12">
      <c r="D369" s="218"/>
      <c r="E369" s="218"/>
    </row>
    <row r="370" spans="4:5" ht="12">
      <c r="D370" s="218"/>
      <c r="E370" s="218"/>
    </row>
    <row r="371" spans="4:5" ht="12">
      <c r="D371" s="218"/>
      <c r="E371" s="218"/>
    </row>
    <row r="372" spans="4:5" ht="12">
      <c r="D372" s="218"/>
      <c r="E372" s="218"/>
    </row>
    <row r="373" spans="4:5" ht="12">
      <c r="D373" s="218"/>
      <c r="E373" s="218"/>
    </row>
    <row r="374" spans="4:5" ht="12">
      <c r="D374" s="218"/>
      <c r="E374" s="218"/>
    </row>
    <row r="375" spans="4:5" ht="12">
      <c r="D375" s="218"/>
      <c r="E375" s="218"/>
    </row>
    <row r="376" spans="4:5" ht="12">
      <c r="D376" s="218"/>
      <c r="E376" s="218"/>
    </row>
    <row r="377" spans="4:5" ht="12">
      <c r="D377" s="218"/>
      <c r="E377" s="218"/>
    </row>
    <row r="378" spans="4:5" ht="12">
      <c r="D378" s="218"/>
      <c r="E378" s="218"/>
    </row>
    <row r="379" spans="4:5" ht="12">
      <c r="D379" s="218"/>
      <c r="E379" s="218"/>
    </row>
    <row r="380" spans="4:5" ht="12">
      <c r="D380" s="218"/>
      <c r="E380" s="218"/>
    </row>
    <row r="381" spans="4:5" ht="12">
      <c r="D381" s="218"/>
      <c r="E381" s="218"/>
    </row>
    <row r="382" spans="4:5" ht="12">
      <c r="D382" s="218"/>
      <c r="E382" s="218"/>
    </row>
    <row r="383" spans="4:5" ht="12">
      <c r="D383" s="218"/>
      <c r="E383" s="218"/>
    </row>
    <row r="384" spans="4:5" ht="12">
      <c r="D384" s="218"/>
      <c r="E384" s="218"/>
    </row>
    <row r="385" spans="4:5" ht="12">
      <c r="D385" s="218"/>
      <c r="E385" s="218"/>
    </row>
    <row r="386" spans="4:5" ht="12">
      <c r="D386" s="218"/>
      <c r="E386" s="218"/>
    </row>
    <row r="387" spans="4:5" ht="12">
      <c r="D387" s="218"/>
      <c r="E387" s="218"/>
    </row>
    <row r="388" spans="4:5" ht="12">
      <c r="D388" s="218"/>
      <c r="E388" s="218"/>
    </row>
    <row r="389" spans="4:5" ht="12">
      <c r="D389" s="218"/>
      <c r="E389" s="218"/>
    </row>
    <row r="390" spans="4:5" ht="12">
      <c r="D390" s="218"/>
      <c r="E390" s="218"/>
    </row>
    <row r="391" spans="4:5" ht="12">
      <c r="D391" s="218"/>
      <c r="E391" s="218"/>
    </row>
    <row r="392" spans="4:5" ht="12">
      <c r="D392" s="218"/>
      <c r="E392" s="218"/>
    </row>
    <row r="393" spans="4:5" ht="12">
      <c r="D393" s="218"/>
      <c r="E393" s="218"/>
    </row>
    <row r="394" spans="4:5" ht="12">
      <c r="D394" s="218"/>
      <c r="E394" s="218"/>
    </row>
    <row r="395" spans="4:5" ht="12">
      <c r="D395" s="218"/>
      <c r="E395" s="218"/>
    </row>
    <row r="396" spans="4:5" ht="12">
      <c r="D396" s="218"/>
      <c r="E396" s="218"/>
    </row>
    <row r="397" spans="4:5" ht="12">
      <c r="D397" s="218"/>
      <c r="E397" s="218"/>
    </row>
    <row r="398" spans="4:5" ht="12">
      <c r="D398" s="218"/>
      <c r="E398" s="218"/>
    </row>
    <row r="399" spans="4:5" ht="12">
      <c r="D399" s="218"/>
      <c r="E399" s="218"/>
    </row>
    <row r="400" spans="4:5" ht="12">
      <c r="D400" s="218"/>
      <c r="E400" s="218"/>
    </row>
    <row r="401" spans="4:5" ht="12">
      <c r="D401" s="218"/>
      <c r="E401" s="218"/>
    </row>
    <row r="402" spans="4:5" ht="12">
      <c r="D402" s="218"/>
      <c r="E402" s="218"/>
    </row>
    <row r="403" spans="4:5" ht="12">
      <c r="D403" s="218"/>
      <c r="E403" s="218"/>
    </row>
    <row r="404" spans="4:5" ht="12">
      <c r="D404" s="218"/>
      <c r="E404" s="218"/>
    </row>
    <row r="405" spans="4:5" ht="12">
      <c r="D405" s="218"/>
      <c r="E405" s="218"/>
    </row>
    <row r="406" spans="4:5" ht="12">
      <c r="D406" s="218"/>
      <c r="E406" s="218"/>
    </row>
    <row r="407" spans="4:5" ht="12">
      <c r="D407" s="218"/>
      <c r="E407" s="218"/>
    </row>
    <row r="408" spans="4:5" ht="12">
      <c r="D408" s="218"/>
      <c r="E408" s="218"/>
    </row>
    <row r="409" spans="4:5" ht="12">
      <c r="D409" s="218"/>
      <c r="E409" s="218"/>
    </row>
    <row r="410" spans="4:5" ht="12">
      <c r="D410" s="218"/>
      <c r="E410" s="218"/>
    </row>
    <row r="411" spans="4:5" ht="12">
      <c r="D411" s="218"/>
      <c r="E411" s="218"/>
    </row>
    <row r="412" spans="4:5" ht="12">
      <c r="D412" s="218"/>
      <c r="E412" s="218"/>
    </row>
    <row r="413" spans="4:5" ht="12">
      <c r="D413" s="218"/>
      <c r="E413" s="218"/>
    </row>
    <row r="414" spans="4:5" ht="12">
      <c r="D414" s="218"/>
      <c r="E414" s="218"/>
    </row>
    <row r="415" spans="4:5" ht="12">
      <c r="D415" s="218"/>
      <c r="E415" s="218"/>
    </row>
    <row r="416" spans="4:5" ht="12">
      <c r="D416" s="218"/>
      <c r="E416" s="218"/>
    </row>
    <row r="417" spans="4:5" ht="12">
      <c r="D417" s="218"/>
      <c r="E417" s="218"/>
    </row>
    <row r="418" spans="4:5" ht="12">
      <c r="D418" s="218"/>
      <c r="E418" s="218"/>
    </row>
    <row r="419" spans="4:5" ht="12">
      <c r="D419" s="218"/>
      <c r="E419" s="218"/>
    </row>
    <row r="420" spans="4:5" ht="12">
      <c r="D420" s="218"/>
      <c r="E420" s="218"/>
    </row>
    <row r="421" spans="4:5" ht="12">
      <c r="D421" s="218"/>
      <c r="E421" s="218"/>
    </row>
    <row r="422" spans="4:5" ht="12">
      <c r="D422" s="218"/>
      <c r="E422" s="218"/>
    </row>
    <row r="423" spans="4:5" ht="12">
      <c r="D423" s="218"/>
      <c r="E423" s="218"/>
    </row>
    <row r="424" spans="4:5" ht="12">
      <c r="D424" s="218"/>
      <c r="E424" s="218"/>
    </row>
    <row r="425" spans="4:5" ht="12">
      <c r="D425" s="218"/>
      <c r="E425" s="218"/>
    </row>
    <row r="426" spans="4:5" ht="12">
      <c r="D426" s="218"/>
      <c r="E426" s="218"/>
    </row>
    <row r="427" spans="4:5" ht="12">
      <c r="D427" s="218"/>
      <c r="E427" s="218"/>
    </row>
    <row r="428" spans="4:5" ht="12">
      <c r="D428" s="218"/>
      <c r="E428" s="218"/>
    </row>
    <row r="429" spans="4:5" ht="12">
      <c r="D429" s="218"/>
      <c r="E429" s="218"/>
    </row>
    <row r="430" spans="4:5" ht="12">
      <c r="D430" s="218"/>
      <c r="E430" s="218"/>
    </row>
    <row r="431" spans="4:5" ht="12">
      <c r="D431" s="218"/>
      <c r="E431" s="218"/>
    </row>
    <row r="432" spans="4:5" ht="12">
      <c r="D432" s="218"/>
      <c r="E432" s="218"/>
    </row>
    <row r="433" spans="4:5" ht="12">
      <c r="D433" s="218"/>
      <c r="E433" s="218"/>
    </row>
    <row r="434" spans="4:5" ht="12">
      <c r="D434" s="218"/>
      <c r="E434" s="218"/>
    </row>
    <row r="435" spans="4:5" ht="12">
      <c r="D435" s="218"/>
      <c r="E435" s="218"/>
    </row>
    <row r="436" spans="4:5" ht="12">
      <c r="D436" s="218"/>
      <c r="E436" s="218"/>
    </row>
    <row r="437" spans="4:5" ht="12">
      <c r="D437" s="218"/>
      <c r="E437" s="218"/>
    </row>
    <row r="438" spans="4:5" ht="12">
      <c r="D438" s="218"/>
      <c r="E438" s="218"/>
    </row>
    <row r="439" spans="4:5" ht="12">
      <c r="D439" s="218"/>
      <c r="E439" s="218"/>
    </row>
    <row r="440" spans="4:5" ht="12">
      <c r="D440" s="218"/>
      <c r="E440" s="218"/>
    </row>
    <row r="441" spans="4:5" ht="12">
      <c r="D441" s="218"/>
      <c r="E441" s="218"/>
    </row>
    <row r="442" spans="4:5" ht="12">
      <c r="D442" s="218"/>
      <c r="E442" s="218"/>
    </row>
    <row r="443" spans="4:5" ht="12">
      <c r="D443" s="218"/>
      <c r="E443" s="218"/>
    </row>
    <row r="444" spans="4:5" ht="12">
      <c r="D444" s="218"/>
      <c r="E444" s="218"/>
    </row>
    <row r="445" spans="4:5" ht="12">
      <c r="D445" s="218"/>
      <c r="E445" s="218"/>
    </row>
    <row r="446" spans="4:5" ht="12">
      <c r="D446" s="218"/>
      <c r="E446" s="218"/>
    </row>
    <row r="447" spans="4:5" ht="12">
      <c r="D447" s="218"/>
      <c r="E447" s="218"/>
    </row>
    <row r="448" spans="4:5" ht="12">
      <c r="D448" s="218"/>
      <c r="E448" s="218"/>
    </row>
    <row r="449" spans="4:5" ht="12">
      <c r="D449" s="218"/>
      <c r="E449" s="218"/>
    </row>
    <row r="450" spans="4:5" ht="12">
      <c r="D450" s="218"/>
      <c r="E450" s="218"/>
    </row>
    <row r="451" spans="4:5" ht="12">
      <c r="D451" s="218"/>
      <c r="E451" s="218"/>
    </row>
    <row r="452" spans="4:5" ht="12">
      <c r="D452" s="218"/>
      <c r="E452" s="218"/>
    </row>
    <row r="453" spans="4:5" ht="12">
      <c r="D453" s="218"/>
      <c r="E453" s="218"/>
    </row>
    <row r="454" spans="4:5" ht="12">
      <c r="D454" s="218"/>
      <c r="E454" s="218"/>
    </row>
    <row r="455" spans="4:5" ht="12">
      <c r="D455" s="218"/>
      <c r="E455" s="218"/>
    </row>
    <row r="456" spans="4:5" ht="12">
      <c r="D456" s="218"/>
      <c r="E456" s="218"/>
    </row>
    <row r="457" spans="4:5" ht="12">
      <c r="D457" s="218"/>
      <c r="E457" s="218"/>
    </row>
    <row r="458" spans="4:5" ht="12">
      <c r="D458" s="218"/>
      <c r="E458" s="218"/>
    </row>
    <row r="459" spans="4:5" ht="12">
      <c r="D459" s="218"/>
      <c r="E459" s="218"/>
    </row>
    <row r="460" spans="4:5" ht="12">
      <c r="D460" s="218"/>
      <c r="E460" s="218"/>
    </row>
    <row r="461" spans="4:5" ht="12">
      <c r="D461" s="218"/>
      <c r="E461" s="218"/>
    </row>
    <row r="462" spans="4:5" ht="12">
      <c r="D462" s="218"/>
      <c r="E462" s="218"/>
    </row>
    <row r="463" spans="4:5" ht="12">
      <c r="D463" s="218"/>
      <c r="E463" s="218"/>
    </row>
    <row r="464" spans="4:5" ht="12">
      <c r="D464" s="218"/>
      <c r="E464" s="218"/>
    </row>
    <row r="465" spans="4:5" ht="12">
      <c r="D465" s="218"/>
      <c r="E465" s="218"/>
    </row>
    <row r="466" spans="4:5" ht="12">
      <c r="D466" s="218"/>
      <c r="E466" s="218"/>
    </row>
    <row r="467" spans="4:5" ht="12">
      <c r="D467" s="218"/>
      <c r="E467" s="218"/>
    </row>
    <row r="468" spans="4:5" ht="12">
      <c r="D468" s="218"/>
      <c r="E468" s="218"/>
    </row>
    <row r="469" spans="4:5" ht="12">
      <c r="D469" s="218"/>
      <c r="E469" s="218"/>
    </row>
    <row r="470" spans="4:5" ht="12">
      <c r="D470" s="218"/>
      <c r="E470" s="218"/>
    </row>
    <row r="471" spans="4:5" ht="12">
      <c r="D471" s="218"/>
      <c r="E471" s="218"/>
    </row>
    <row r="472" spans="4:5" ht="12">
      <c r="D472" s="218"/>
      <c r="E472" s="218"/>
    </row>
    <row r="473" spans="4:5" ht="12">
      <c r="D473" s="218"/>
      <c r="E473" s="218"/>
    </row>
    <row r="474" spans="4:5" ht="12">
      <c r="D474" s="218"/>
      <c r="E474" s="218"/>
    </row>
    <row r="475" spans="4:5" ht="12">
      <c r="D475" s="218"/>
      <c r="E475" s="218"/>
    </row>
    <row r="476" spans="4:5" ht="12">
      <c r="D476" s="218"/>
      <c r="E476" s="218"/>
    </row>
    <row r="477" spans="4:5" ht="12">
      <c r="D477" s="218"/>
      <c r="E477" s="218"/>
    </row>
    <row r="478" spans="4:5" ht="12">
      <c r="D478" s="218"/>
      <c r="E478" s="218"/>
    </row>
    <row r="479" spans="4:5" ht="12">
      <c r="D479" s="218"/>
      <c r="E479" s="218"/>
    </row>
    <row r="480" spans="4:5" ht="12">
      <c r="D480" s="218"/>
      <c r="E480" s="218"/>
    </row>
    <row r="481" spans="4:5" ht="12">
      <c r="D481" s="218"/>
      <c r="E481" s="218"/>
    </row>
    <row r="482" spans="4:5" ht="12">
      <c r="D482" s="218"/>
      <c r="E482" s="218"/>
    </row>
    <row r="483" spans="4:5" ht="12">
      <c r="D483" s="218"/>
      <c r="E483" s="218"/>
    </row>
    <row r="484" spans="4:5" ht="12">
      <c r="D484" s="218"/>
      <c r="E484" s="218"/>
    </row>
    <row r="485" spans="4:5" ht="12">
      <c r="D485" s="218"/>
      <c r="E485" s="218"/>
    </row>
    <row r="486" spans="4:5" ht="12">
      <c r="D486" s="218"/>
      <c r="E486" s="218"/>
    </row>
    <row r="487" spans="4:5" ht="12">
      <c r="D487" s="218"/>
      <c r="E487" s="218"/>
    </row>
    <row r="488" spans="4:5" ht="12">
      <c r="D488" s="218"/>
      <c r="E488" s="218"/>
    </row>
    <row r="489" spans="4:5" ht="12">
      <c r="D489" s="218"/>
      <c r="E489" s="218"/>
    </row>
    <row r="490" spans="4:5" ht="12">
      <c r="D490" s="218"/>
      <c r="E490" s="218"/>
    </row>
    <row r="491" spans="4:5" ht="12">
      <c r="D491" s="218"/>
      <c r="E491" s="218"/>
    </row>
    <row r="492" spans="4:5" ht="12">
      <c r="D492" s="218"/>
      <c r="E492" s="218"/>
    </row>
    <row r="493" spans="4:5" ht="12">
      <c r="D493" s="218"/>
      <c r="E493" s="218"/>
    </row>
    <row r="494" spans="4:5" ht="12">
      <c r="D494" s="218"/>
      <c r="E494" s="218"/>
    </row>
    <row r="495" spans="4:5" ht="12">
      <c r="D495" s="218"/>
      <c r="E495" s="218"/>
    </row>
    <row r="496" spans="4:5" ht="12">
      <c r="D496" s="218"/>
      <c r="E496" s="218"/>
    </row>
    <row r="497" spans="4:5" ht="12">
      <c r="D497" s="218"/>
      <c r="E497" s="218"/>
    </row>
    <row r="498" spans="4:5" ht="12">
      <c r="D498" s="218"/>
      <c r="E498" s="218"/>
    </row>
    <row r="499" spans="4:5" ht="12">
      <c r="D499" s="218"/>
      <c r="E499" s="218"/>
    </row>
    <row r="500" spans="4:5" ht="12">
      <c r="D500" s="218"/>
      <c r="E500" s="218"/>
    </row>
    <row r="501" spans="4:5" ht="12">
      <c r="D501" s="218"/>
      <c r="E501" s="218"/>
    </row>
    <row r="502" spans="4:5" ht="12">
      <c r="D502" s="218"/>
      <c r="E502" s="218"/>
    </row>
    <row r="503" spans="4:5" ht="12">
      <c r="D503" s="218"/>
      <c r="E503" s="218"/>
    </row>
    <row r="504" spans="4:5" ht="12">
      <c r="D504" s="218"/>
      <c r="E504" s="218"/>
    </row>
    <row r="505" spans="4:5" ht="12">
      <c r="D505" s="218"/>
      <c r="E505" s="218"/>
    </row>
    <row r="506" spans="4:5" ht="12">
      <c r="D506" s="218"/>
      <c r="E506" s="218"/>
    </row>
    <row r="507" spans="4:5" ht="12">
      <c r="D507" s="218"/>
      <c r="E507" s="218"/>
    </row>
    <row r="508" spans="4:5" ht="12">
      <c r="D508" s="218"/>
      <c r="E508" s="218"/>
    </row>
    <row r="509" spans="4:5" ht="12">
      <c r="D509" s="218"/>
      <c r="E509" s="218"/>
    </row>
    <row r="510" spans="4:5" ht="12">
      <c r="D510" s="218"/>
      <c r="E510" s="218"/>
    </row>
    <row r="511" spans="4:5" ht="12">
      <c r="D511" s="218"/>
      <c r="E511" s="218"/>
    </row>
    <row r="512" spans="4:5" ht="12">
      <c r="D512" s="218"/>
      <c r="E512" s="218"/>
    </row>
    <row r="513" spans="4:5" ht="12">
      <c r="D513" s="218"/>
      <c r="E513" s="218"/>
    </row>
    <row r="514" spans="4:5" ht="12">
      <c r="D514" s="218"/>
      <c r="E514" s="218"/>
    </row>
    <row r="515" spans="4:5" ht="12">
      <c r="D515" s="218"/>
      <c r="E515" s="218"/>
    </row>
    <row r="516" spans="4:5" ht="12">
      <c r="D516" s="218"/>
      <c r="E516" s="218"/>
    </row>
    <row r="517" spans="4:5" ht="12">
      <c r="D517" s="218"/>
      <c r="E517" s="218"/>
    </row>
    <row r="518" spans="4:5" ht="12">
      <c r="D518" s="218"/>
      <c r="E518" s="218"/>
    </row>
    <row r="519" spans="4:5" ht="12">
      <c r="D519" s="218"/>
      <c r="E519" s="218"/>
    </row>
    <row r="520" spans="4:5" ht="12">
      <c r="D520" s="218"/>
      <c r="E520" s="218"/>
    </row>
    <row r="521" spans="4:5" ht="12">
      <c r="D521" s="218"/>
      <c r="E521" s="218"/>
    </row>
    <row r="522" spans="4:5" ht="12">
      <c r="D522" s="218"/>
      <c r="E522" s="218"/>
    </row>
    <row r="523" spans="4:5" ht="12">
      <c r="D523" s="218"/>
      <c r="E523" s="218"/>
    </row>
    <row r="524" spans="4:5" ht="12">
      <c r="D524" s="218"/>
      <c r="E524" s="218"/>
    </row>
    <row r="525" spans="4:5" ht="12">
      <c r="D525" s="218"/>
      <c r="E525" s="218"/>
    </row>
    <row r="526" spans="4:5" ht="12">
      <c r="D526" s="218"/>
      <c r="E526" s="218"/>
    </row>
    <row r="527" spans="4:5" ht="12">
      <c r="D527" s="218"/>
      <c r="E527" s="218"/>
    </row>
    <row r="528" spans="4:5" ht="12">
      <c r="D528" s="218"/>
      <c r="E528" s="218"/>
    </row>
    <row r="529" spans="4:5" ht="12">
      <c r="D529" s="218"/>
      <c r="E529" s="218"/>
    </row>
    <row r="530" spans="4:5" ht="12">
      <c r="D530" s="218"/>
      <c r="E530" s="218"/>
    </row>
    <row r="531" spans="4:5" ht="12">
      <c r="D531" s="218"/>
      <c r="E531" s="218"/>
    </row>
    <row r="532" spans="4:5" ht="12">
      <c r="D532" s="218"/>
      <c r="E532" s="218"/>
    </row>
    <row r="533" spans="4:5" ht="12">
      <c r="D533" s="218"/>
      <c r="E533" s="218"/>
    </row>
    <row r="534" spans="4:5" ht="12">
      <c r="D534" s="218"/>
      <c r="E534" s="218"/>
    </row>
    <row r="535" spans="4:5" ht="12">
      <c r="D535" s="218"/>
      <c r="E535" s="218"/>
    </row>
    <row r="536" spans="4:5" ht="12">
      <c r="D536" s="218"/>
      <c r="E536" s="218"/>
    </row>
    <row r="537" spans="4:5" ht="12">
      <c r="D537" s="218"/>
      <c r="E537" s="218"/>
    </row>
    <row r="538" spans="4:5" ht="12">
      <c r="D538" s="218"/>
      <c r="E538" s="218"/>
    </row>
    <row r="539" spans="4:5" ht="12">
      <c r="D539" s="218"/>
      <c r="E539" s="218"/>
    </row>
    <row r="540" spans="4:5" ht="12">
      <c r="D540" s="218"/>
      <c r="E540" s="218"/>
    </row>
    <row r="541" spans="4:5" ht="12">
      <c r="D541" s="218"/>
      <c r="E541" s="218"/>
    </row>
    <row r="542" spans="4:5" ht="12">
      <c r="D542" s="218"/>
      <c r="E542" s="218"/>
    </row>
    <row r="543" spans="4:5" ht="12">
      <c r="D543" s="218"/>
      <c r="E543" s="218"/>
    </row>
    <row r="544" spans="4:5" ht="12">
      <c r="D544" s="218"/>
      <c r="E544" s="218"/>
    </row>
    <row r="545" spans="4:5" ht="12">
      <c r="D545" s="218"/>
      <c r="E545" s="218"/>
    </row>
    <row r="546" spans="4:5" ht="12">
      <c r="D546" s="218"/>
      <c r="E546" s="218"/>
    </row>
    <row r="547" spans="4:5" ht="12">
      <c r="D547" s="218"/>
      <c r="E547" s="218"/>
    </row>
    <row r="548" spans="4:5" ht="12">
      <c r="D548" s="218"/>
      <c r="E548" s="218"/>
    </row>
    <row r="549" spans="4:5" ht="12">
      <c r="D549" s="218"/>
      <c r="E549" s="218"/>
    </row>
    <row r="550" spans="4:5" ht="12">
      <c r="D550" s="218"/>
      <c r="E550" s="218"/>
    </row>
    <row r="551" spans="4:5" ht="12">
      <c r="D551" s="218"/>
      <c r="E551" s="218"/>
    </row>
    <row r="552" spans="4:5" ht="12">
      <c r="D552" s="218"/>
      <c r="E552" s="218"/>
    </row>
    <row r="553" spans="4:5" ht="12">
      <c r="D553" s="218"/>
      <c r="E553" s="218"/>
    </row>
    <row r="554" spans="4:5" ht="12">
      <c r="D554" s="218"/>
      <c r="E554" s="218"/>
    </row>
    <row r="555" spans="4:5" ht="12">
      <c r="D555" s="218"/>
      <c r="E555" s="218"/>
    </row>
    <row r="556" spans="4:5" ht="12">
      <c r="D556" s="218"/>
      <c r="E556" s="218"/>
    </row>
    <row r="557" spans="4:5" ht="12">
      <c r="D557" s="218"/>
      <c r="E557" s="218"/>
    </row>
    <row r="558" spans="4:5" ht="12">
      <c r="D558" s="218"/>
      <c r="E558" s="218"/>
    </row>
    <row r="559" spans="4:5" ht="12">
      <c r="D559" s="218"/>
      <c r="E559" s="218"/>
    </row>
    <row r="560" spans="4:5" ht="12">
      <c r="D560" s="218"/>
      <c r="E560" s="218"/>
    </row>
    <row r="561" spans="4:5" ht="12">
      <c r="D561" s="218"/>
      <c r="E561" s="218"/>
    </row>
    <row r="562" spans="4:5" ht="12">
      <c r="D562" s="218"/>
      <c r="E562" s="218"/>
    </row>
    <row r="563" spans="4:5" ht="12">
      <c r="D563" s="218"/>
      <c r="E563" s="218"/>
    </row>
    <row r="564" spans="4:5" ht="12">
      <c r="D564" s="218"/>
      <c r="E564" s="218"/>
    </row>
    <row r="565" spans="4:5" ht="12">
      <c r="D565" s="218"/>
      <c r="E565" s="218"/>
    </row>
    <row r="566" spans="4:5" ht="12">
      <c r="D566" s="218"/>
      <c r="E566" s="218"/>
    </row>
    <row r="567" spans="4:5" ht="12">
      <c r="D567" s="218"/>
      <c r="E567" s="218"/>
    </row>
    <row r="568" spans="4:5" ht="12">
      <c r="D568" s="218"/>
      <c r="E568" s="218"/>
    </row>
    <row r="569" spans="4:5" ht="12">
      <c r="D569" s="218"/>
      <c r="E569" s="218"/>
    </row>
    <row r="570" spans="4:5" ht="12">
      <c r="D570" s="218"/>
      <c r="E570" s="218"/>
    </row>
    <row r="571" spans="4:5" ht="12">
      <c r="D571" s="218"/>
      <c r="E571" s="218"/>
    </row>
    <row r="572" spans="4:5" ht="12">
      <c r="D572" s="218"/>
      <c r="E572" s="218"/>
    </row>
    <row r="573" spans="4:5" ht="12">
      <c r="D573" s="218"/>
      <c r="E573" s="218"/>
    </row>
    <row r="574" spans="4:5" ht="12">
      <c r="D574" s="218"/>
      <c r="E574" s="218"/>
    </row>
    <row r="575" spans="4:5" ht="12">
      <c r="D575" s="218"/>
      <c r="E575" s="218"/>
    </row>
    <row r="576" spans="4:5" ht="12">
      <c r="D576" s="218"/>
      <c r="E576" s="218"/>
    </row>
    <row r="577" spans="4:5" ht="12">
      <c r="D577" s="218"/>
      <c r="E577" s="218"/>
    </row>
    <row r="578" spans="4:5" ht="12">
      <c r="D578" s="218"/>
      <c r="E578" s="218"/>
    </row>
    <row r="579" spans="4:5" ht="12">
      <c r="D579" s="218"/>
      <c r="E579" s="218"/>
    </row>
    <row r="580" spans="4:5" ht="12">
      <c r="D580" s="218"/>
      <c r="E580" s="218"/>
    </row>
    <row r="581" spans="4:5" ht="12">
      <c r="D581" s="218"/>
      <c r="E581" s="218"/>
    </row>
    <row r="582" spans="4:5" ht="12">
      <c r="D582" s="218"/>
      <c r="E582" s="218"/>
    </row>
    <row r="583" spans="4:5" ht="12">
      <c r="D583" s="218"/>
      <c r="E583" s="218"/>
    </row>
    <row r="584" spans="4:5" ht="12">
      <c r="D584" s="218"/>
      <c r="E584" s="218"/>
    </row>
    <row r="585" spans="4:5" ht="12">
      <c r="D585" s="218"/>
      <c r="E585" s="218"/>
    </row>
    <row r="586" spans="4:5" ht="12">
      <c r="D586" s="218"/>
      <c r="E586" s="218"/>
    </row>
    <row r="587" spans="4:5" ht="12">
      <c r="D587" s="218"/>
      <c r="E587" s="218"/>
    </row>
    <row r="588" spans="4:5" ht="12">
      <c r="D588" s="218"/>
      <c r="E588" s="218"/>
    </row>
    <row r="589" spans="4:5" ht="12">
      <c r="D589" s="218"/>
      <c r="E589" s="218"/>
    </row>
    <row r="590" spans="4:5" ht="12">
      <c r="D590" s="218"/>
      <c r="E590" s="218"/>
    </row>
    <row r="591" spans="4:5" ht="12">
      <c r="D591" s="218"/>
      <c r="E591" s="218"/>
    </row>
    <row r="592" spans="4:5" ht="12">
      <c r="D592" s="218"/>
      <c r="E592" s="218"/>
    </row>
    <row r="593" spans="4:5" ht="12">
      <c r="D593" s="218"/>
      <c r="E593" s="218"/>
    </row>
    <row r="594" spans="4:5" ht="12">
      <c r="D594" s="218"/>
      <c r="E594" s="218"/>
    </row>
    <row r="595" spans="4:5" ht="12">
      <c r="D595" s="218"/>
      <c r="E595" s="218"/>
    </row>
    <row r="596" spans="4:5" ht="12">
      <c r="D596" s="218"/>
      <c r="E596" s="218"/>
    </row>
    <row r="597" spans="4:5" ht="12">
      <c r="D597" s="218"/>
      <c r="E597" s="218"/>
    </row>
    <row r="598" spans="4:5" ht="12">
      <c r="D598" s="218"/>
      <c r="E598" s="218"/>
    </row>
    <row r="599" spans="4:5" ht="12">
      <c r="D599" s="218"/>
      <c r="E599" s="218"/>
    </row>
    <row r="600" spans="4:5" ht="12">
      <c r="D600" s="218"/>
      <c r="E600" s="218"/>
    </row>
    <row r="601" spans="4:5" ht="12">
      <c r="D601" s="218"/>
      <c r="E601" s="218"/>
    </row>
    <row r="602" spans="4:5" ht="12">
      <c r="D602" s="218"/>
      <c r="E602" s="218"/>
    </row>
    <row r="603" spans="4:5" ht="12">
      <c r="D603" s="218"/>
      <c r="E603" s="218"/>
    </row>
    <row r="604" spans="4:5" ht="12">
      <c r="D604" s="218"/>
      <c r="E604" s="218"/>
    </row>
    <row r="605" spans="4:5" ht="12">
      <c r="D605" s="218"/>
      <c r="E605" s="218"/>
    </row>
    <row r="606" spans="4:5" ht="12">
      <c r="D606" s="218"/>
      <c r="E606" s="218"/>
    </row>
    <row r="607" spans="4:5" ht="12">
      <c r="D607" s="218"/>
      <c r="E607" s="218"/>
    </row>
    <row r="608" spans="4:5" ht="12">
      <c r="D608" s="218"/>
      <c r="E608" s="218"/>
    </row>
    <row r="609" spans="4:5" ht="12">
      <c r="D609" s="218"/>
      <c r="E609" s="218"/>
    </row>
    <row r="610" spans="4:5" ht="12">
      <c r="D610" s="218"/>
      <c r="E610" s="218"/>
    </row>
    <row r="611" spans="4:5" ht="12">
      <c r="D611" s="218"/>
      <c r="E611" s="218"/>
    </row>
    <row r="612" spans="4:5" ht="12">
      <c r="D612" s="218"/>
      <c r="E612" s="218"/>
    </row>
    <row r="613" spans="4:5" ht="12">
      <c r="D613" s="218"/>
      <c r="E613" s="218"/>
    </row>
    <row r="614" spans="4:5" ht="12">
      <c r="D614" s="218"/>
      <c r="E614" s="218"/>
    </row>
    <row r="615" spans="4:5" ht="12">
      <c r="D615" s="218"/>
      <c r="E615" s="218"/>
    </row>
    <row r="616" spans="4:5" ht="12">
      <c r="D616" s="218"/>
      <c r="E616" s="218"/>
    </row>
    <row r="617" spans="4:5" ht="12">
      <c r="D617" s="218"/>
      <c r="E617" s="218"/>
    </row>
    <row r="618" spans="4:5" ht="12">
      <c r="D618" s="218"/>
      <c r="E618" s="218"/>
    </row>
    <row r="619" spans="4:5" ht="12">
      <c r="D619" s="218"/>
      <c r="E619" s="218"/>
    </row>
    <row r="620" spans="4:5" ht="12">
      <c r="D620" s="218"/>
      <c r="E620" s="218"/>
    </row>
    <row r="621" spans="4:5" ht="12">
      <c r="D621" s="218"/>
      <c r="E621" s="218"/>
    </row>
    <row r="622" spans="4:5" ht="12">
      <c r="D622" s="218"/>
      <c r="E622" s="218"/>
    </row>
    <row r="623" spans="4:5" ht="12">
      <c r="D623" s="218"/>
      <c r="E623" s="218"/>
    </row>
    <row r="624" spans="4:5" ht="12">
      <c r="D624" s="218"/>
      <c r="E624" s="218"/>
    </row>
    <row r="625" spans="4:5" ht="12">
      <c r="D625" s="218"/>
      <c r="E625" s="218"/>
    </row>
    <row r="626" spans="4:5" ht="12">
      <c r="D626" s="218"/>
      <c r="E626" s="218"/>
    </row>
    <row r="627" spans="4:5" ht="12">
      <c r="D627" s="218"/>
      <c r="E627" s="218"/>
    </row>
    <row r="628" spans="4:5" ht="12">
      <c r="D628" s="218"/>
      <c r="E628" s="218"/>
    </row>
    <row r="629" spans="4:5" ht="12">
      <c r="D629" s="218"/>
      <c r="E629" s="218"/>
    </row>
    <row r="630" spans="4:5" ht="12">
      <c r="D630" s="218"/>
      <c r="E630" s="218"/>
    </row>
    <row r="631" spans="4:5" ht="12">
      <c r="D631" s="218"/>
      <c r="E631" s="218"/>
    </row>
    <row r="632" spans="4:5" ht="12">
      <c r="D632" s="218"/>
      <c r="E632" s="218"/>
    </row>
    <row r="633" spans="4:5" ht="12">
      <c r="D633" s="218"/>
      <c r="E633" s="218"/>
    </row>
    <row r="634" spans="4:5" ht="12">
      <c r="D634" s="218"/>
      <c r="E634" s="218"/>
    </row>
    <row r="635" spans="4:5" ht="12">
      <c r="D635" s="218"/>
      <c r="E635" s="218"/>
    </row>
    <row r="636" spans="4:5" ht="12">
      <c r="D636" s="218"/>
      <c r="E636" s="218"/>
    </row>
    <row r="637" spans="4:5" ht="12">
      <c r="D637" s="218"/>
      <c r="E637" s="218"/>
    </row>
    <row r="638" spans="4:5" ht="12">
      <c r="D638" s="218"/>
      <c r="E638" s="218"/>
    </row>
    <row r="639" spans="4:5" ht="12">
      <c r="D639" s="218"/>
      <c r="E639" s="218"/>
    </row>
    <row r="640" spans="4:5" ht="12">
      <c r="D640" s="218"/>
      <c r="E640" s="218"/>
    </row>
    <row r="641" spans="4:5" ht="12">
      <c r="D641" s="218"/>
      <c r="E641" s="218"/>
    </row>
    <row r="642" spans="4:5" ht="12">
      <c r="D642" s="218"/>
      <c r="E642" s="218"/>
    </row>
    <row r="643" spans="4:5" ht="12">
      <c r="D643" s="218"/>
      <c r="E643" s="218"/>
    </row>
    <row r="644" spans="4:5" ht="12">
      <c r="D644" s="218"/>
      <c r="E644" s="218"/>
    </row>
    <row r="645" spans="4:5" ht="12">
      <c r="D645" s="218"/>
      <c r="E645" s="218"/>
    </row>
    <row r="646" spans="4:5" ht="12">
      <c r="D646" s="218"/>
      <c r="E646" s="218"/>
    </row>
    <row r="647" spans="4:5" ht="12">
      <c r="D647" s="218"/>
      <c r="E647" s="218"/>
    </row>
    <row r="648" spans="4:5" ht="12">
      <c r="D648" s="218"/>
      <c r="E648" s="218"/>
    </row>
    <row r="649" spans="4:5" ht="12">
      <c r="D649" s="218"/>
      <c r="E649" s="218"/>
    </row>
    <row r="650" spans="4:5" ht="12">
      <c r="D650" s="218"/>
      <c r="E650" s="218"/>
    </row>
    <row r="651" spans="4:5" ht="12">
      <c r="D651" s="218"/>
      <c r="E651" s="218"/>
    </row>
    <row r="652" spans="4:5" ht="12">
      <c r="D652" s="218"/>
      <c r="E652" s="218"/>
    </row>
    <row r="653" spans="4:5" ht="12">
      <c r="D653" s="218"/>
      <c r="E653" s="218"/>
    </row>
    <row r="654" spans="4:5" ht="12">
      <c r="D654" s="218"/>
      <c r="E654" s="218"/>
    </row>
    <row r="655" spans="4:5" ht="12">
      <c r="D655" s="218"/>
      <c r="E655" s="218"/>
    </row>
    <row r="656" spans="4:5" ht="12">
      <c r="D656" s="218"/>
      <c r="E656" s="218"/>
    </row>
    <row r="657" spans="4:5" ht="12">
      <c r="D657" s="218"/>
      <c r="E657" s="218"/>
    </row>
    <row r="658" spans="4:5" ht="12">
      <c r="D658" s="218"/>
      <c r="E658" s="218"/>
    </row>
    <row r="659" spans="4:5" ht="12">
      <c r="D659" s="218"/>
      <c r="E659" s="218"/>
    </row>
    <row r="660" spans="4:5" ht="12">
      <c r="D660" s="218"/>
      <c r="E660" s="218"/>
    </row>
    <row r="661" spans="4:5" ht="12">
      <c r="D661" s="218"/>
      <c r="E661" s="218"/>
    </row>
    <row r="662" spans="4:5" ht="12">
      <c r="D662" s="218"/>
      <c r="E662" s="218"/>
    </row>
    <row r="663" spans="4:5" ht="12">
      <c r="D663" s="218"/>
      <c r="E663" s="218"/>
    </row>
    <row r="664" spans="4:5" ht="12">
      <c r="D664" s="218"/>
      <c r="E664" s="218"/>
    </row>
    <row r="665" spans="4:5" ht="12">
      <c r="D665" s="218"/>
      <c r="E665" s="218"/>
    </row>
    <row r="666" spans="4:5" ht="12">
      <c r="D666" s="218"/>
      <c r="E666" s="218"/>
    </row>
    <row r="667" spans="4:5" ht="12">
      <c r="D667" s="218"/>
      <c r="E667" s="218"/>
    </row>
    <row r="668" spans="4:5" ht="12">
      <c r="D668" s="218"/>
      <c r="E668" s="218"/>
    </row>
    <row r="669" spans="4:5" ht="12">
      <c r="D669" s="218"/>
      <c r="E669" s="218"/>
    </row>
    <row r="670" spans="4:5" ht="12">
      <c r="D670" s="218"/>
      <c r="E670" s="218"/>
    </row>
    <row r="671" spans="4:5" ht="12">
      <c r="D671" s="218"/>
      <c r="E671" s="218"/>
    </row>
    <row r="672" spans="4:5" ht="12">
      <c r="D672" s="218"/>
      <c r="E672" s="218"/>
    </row>
    <row r="673" spans="4:5" ht="12">
      <c r="D673" s="218"/>
      <c r="E673" s="218"/>
    </row>
    <row r="674" spans="4:5" ht="12">
      <c r="D674" s="218"/>
      <c r="E674" s="218"/>
    </row>
    <row r="675" spans="4:5" ht="12">
      <c r="D675" s="218"/>
      <c r="E675" s="218"/>
    </row>
    <row r="676" spans="4:5" ht="12">
      <c r="D676" s="218"/>
      <c r="E676" s="218"/>
    </row>
    <row r="677" spans="4:5" ht="12">
      <c r="D677" s="218"/>
      <c r="E677" s="218"/>
    </row>
    <row r="678" spans="4:5" ht="12">
      <c r="D678" s="218"/>
      <c r="E678" s="218"/>
    </row>
    <row r="679" spans="4:5" ht="12">
      <c r="D679" s="218"/>
      <c r="E679" s="218"/>
    </row>
    <row r="680" spans="4:5" ht="12">
      <c r="D680" s="218"/>
      <c r="E680" s="218"/>
    </row>
    <row r="681" spans="4:5" ht="12">
      <c r="D681" s="218"/>
      <c r="E681" s="218"/>
    </row>
    <row r="682" spans="4:5" ht="12">
      <c r="D682" s="218"/>
      <c r="E682" s="218"/>
    </row>
    <row r="683" spans="4:5" ht="12">
      <c r="D683" s="218"/>
      <c r="E683" s="218"/>
    </row>
    <row r="684" spans="4:5" ht="12">
      <c r="D684" s="218"/>
      <c r="E684" s="218"/>
    </row>
    <row r="685" spans="4:5" ht="12">
      <c r="D685" s="218"/>
      <c r="E685" s="218"/>
    </row>
    <row r="686" spans="4:5" ht="12">
      <c r="D686" s="218"/>
      <c r="E686" s="218"/>
    </row>
    <row r="687" spans="4:5" ht="12">
      <c r="D687" s="218"/>
      <c r="E687" s="218"/>
    </row>
    <row r="688" spans="4:5" ht="12">
      <c r="D688" s="218"/>
      <c r="E688" s="218"/>
    </row>
    <row r="689" spans="4:5" ht="12">
      <c r="D689" s="218"/>
      <c r="E689" s="218"/>
    </row>
    <row r="690" spans="4:5" ht="12">
      <c r="D690" s="218"/>
      <c r="E690" s="218"/>
    </row>
    <row r="691" spans="4:5" ht="12">
      <c r="D691" s="218"/>
      <c r="E691" s="218"/>
    </row>
    <row r="692" spans="4:5" ht="12">
      <c r="D692" s="218"/>
      <c r="E692" s="218"/>
    </row>
    <row r="693" spans="4:5" ht="12">
      <c r="D693" s="218"/>
      <c r="E693" s="218"/>
    </row>
    <row r="694" spans="4:5" ht="12">
      <c r="D694" s="218"/>
      <c r="E694" s="218"/>
    </row>
    <row r="695" spans="4:5" ht="12">
      <c r="D695" s="218"/>
      <c r="E695" s="218"/>
    </row>
    <row r="696" spans="4:5" ht="12">
      <c r="D696" s="218"/>
      <c r="E696" s="218"/>
    </row>
    <row r="697" spans="4:5" ht="12">
      <c r="D697" s="218"/>
      <c r="E697" s="218"/>
    </row>
    <row r="698" spans="4:5" ht="12">
      <c r="D698" s="218"/>
      <c r="E698" s="218"/>
    </row>
    <row r="699" spans="4:5" ht="12">
      <c r="D699" s="218"/>
      <c r="E699" s="218"/>
    </row>
    <row r="700" spans="4:5" ht="12">
      <c r="D700" s="218"/>
      <c r="E700" s="218"/>
    </row>
    <row r="701" spans="4:5" ht="12">
      <c r="D701" s="218"/>
      <c r="E701" s="218"/>
    </row>
    <row r="702" spans="4:5" ht="12">
      <c r="D702" s="218"/>
      <c r="E702" s="218"/>
    </row>
    <row r="703" spans="4:5" ht="12">
      <c r="D703" s="218"/>
      <c r="E703" s="218"/>
    </row>
    <row r="704" spans="4:5" ht="12">
      <c r="D704" s="218"/>
      <c r="E704" s="218"/>
    </row>
    <row r="705" spans="4:5" ht="12">
      <c r="D705" s="218"/>
      <c r="E705" s="218"/>
    </row>
    <row r="706" spans="4:5" ht="12">
      <c r="D706" s="218"/>
      <c r="E706" s="218"/>
    </row>
    <row r="707" spans="4:5" ht="12">
      <c r="D707" s="218"/>
      <c r="E707" s="218"/>
    </row>
    <row r="708" spans="4:5" ht="12">
      <c r="D708" s="218"/>
      <c r="E708" s="218"/>
    </row>
    <row r="709" spans="4:5" ht="12">
      <c r="D709" s="218"/>
      <c r="E709" s="218"/>
    </row>
    <row r="710" spans="4:5" ht="12">
      <c r="D710" s="218"/>
      <c r="E710" s="218"/>
    </row>
    <row r="711" spans="4:5" ht="12">
      <c r="D711" s="218"/>
      <c r="E711" s="218"/>
    </row>
    <row r="712" spans="4:5" ht="12">
      <c r="D712" s="218"/>
      <c r="E712" s="218"/>
    </row>
    <row r="713" spans="4:5" ht="12">
      <c r="D713" s="218"/>
      <c r="E713" s="218"/>
    </row>
    <row r="714" spans="4:5" ht="12">
      <c r="D714" s="218"/>
      <c r="E714" s="218"/>
    </row>
    <row r="715" spans="4:5" ht="12">
      <c r="D715" s="218"/>
      <c r="E715" s="218"/>
    </row>
    <row r="716" spans="4:5" ht="12">
      <c r="D716" s="218"/>
      <c r="E716" s="218"/>
    </row>
    <row r="717" spans="4:5" ht="12">
      <c r="D717" s="218"/>
      <c r="E717" s="218"/>
    </row>
    <row r="718" spans="4:5" ht="12">
      <c r="D718" s="218"/>
      <c r="E718" s="218"/>
    </row>
    <row r="719" spans="4:5" ht="12">
      <c r="D719" s="218"/>
      <c r="E719" s="218"/>
    </row>
    <row r="720" spans="4:5" ht="12">
      <c r="D720" s="218"/>
      <c r="E720" s="218"/>
    </row>
    <row r="721" spans="4:5" ht="12">
      <c r="D721" s="218"/>
      <c r="E721" s="218"/>
    </row>
    <row r="722" spans="4:5" ht="12">
      <c r="D722" s="218"/>
      <c r="E722" s="218"/>
    </row>
    <row r="723" spans="4:5" ht="12">
      <c r="D723" s="218"/>
      <c r="E723" s="218"/>
    </row>
    <row r="724" spans="4:5" ht="12">
      <c r="D724" s="218"/>
      <c r="E724" s="218"/>
    </row>
    <row r="725" spans="4:5" ht="12">
      <c r="D725" s="218"/>
      <c r="E725" s="218"/>
    </row>
    <row r="726" spans="4:5" ht="12">
      <c r="D726" s="218"/>
      <c r="E726" s="218"/>
    </row>
    <row r="727" spans="4:5" ht="12">
      <c r="D727" s="218"/>
      <c r="E727" s="218"/>
    </row>
    <row r="728" spans="4:5" ht="12">
      <c r="D728" s="218"/>
      <c r="E728" s="218"/>
    </row>
    <row r="729" spans="4:5" ht="12">
      <c r="D729" s="218"/>
      <c r="E729" s="218"/>
    </row>
    <row r="730" spans="4:5" ht="12">
      <c r="D730" s="218"/>
      <c r="E730" s="218"/>
    </row>
    <row r="731" spans="4:5" ht="12">
      <c r="D731" s="218"/>
      <c r="E731" s="218"/>
    </row>
    <row r="732" spans="4:5" ht="12">
      <c r="D732" s="218"/>
      <c r="E732" s="218"/>
    </row>
    <row r="733" spans="4:5" ht="12">
      <c r="D733" s="218"/>
      <c r="E733" s="218"/>
    </row>
    <row r="734" spans="4:5" ht="12">
      <c r="D734" s="218"/>
      <c r="E734" s="218"/>
    </row>
    <row r="735" spans="4:5" ht="12">
      <c r="D735" s="218"/>
      <c r="E735" s="218"/>
    </row>
    <row r="736" spans="4:5" ht="12">
      <c r="D736" s="218"/>
      <c r="E736" s="218"/>
    </row>
    <row r="737" spans="4:5" ht="12">
      <c r="D737" s="218"/>
      <c r="E737" s="218"/>
    </row>
    <row r="738" spans="4:5" ht="12">
      <c r="D738" s="218"/>
      <c r="E738" s="218"/>
    </row>
    <row r="739" spans="4:5" ht="12">
      <c r="D739" s="218"/>
      <c r="E739" s="218"/>
    </row>
    <row r="740" spans="4:5" ht="12">
      <c r="D740" s="218"/>
      <c r="E740" s="218"/>
    </row>
    <row r="741" spans="4:5" ht="12">
      <c r="D741" s="218"/>
      <c r="E741" s="218"/>
    </row>
    <row r="742" spans="4:5" ht="12">
      <c r="D742" s="218"/>
      <c r="E742" s="218"/>
    </row>
    <row r="743" spans="4:5" ht="12">
      <c r="D743" s="218"/>
      <c r="E743" s="218"/>
    </row>
    <row r="744" spans="4:5" ht="12">
      <c r="D744" s="218"/>
      <c r="E744" s="218"/>
    </row>
    <row r="745" spans="4:5" ht="12">
      <c r="D745" s="218"/>
      <c r="E745" s="218"/>
    </row>
    <row r="746" spans="4:5" ht="12">
      <c r="D746" s="218"/>
      <c r="E746" s="218"/>
    </row>
    <row r="747" spans="4:5" ht="12">
      <c r="D747" s="218"/>
      <c r="E747" s="218"/>
    </row>
    <row r="748" spans="4:5" ht="12">
      <c r="D748" s="218"/>
      <c r="E748" s="218"/>
    </row>
    <row r="749" spans="4:5" ht="12">
      <c r="D749" s="218"/>
      <c r="E749" s="218"/>
    </row>
    <row r="750" spans="4:5" ht="12">
      <c r="D750" s="218"/>
      <c r="E750" s="218"/>
    </row>
    <row r="751" spans="4:5" ht="12">
      <c r="D751" s="218"/>
      <c r="E751" s="218"/>
    </row>
    <row r="752" spans="4:5" ht="12">
      <c r="D752" s="218"/>
      <c r="E752" s="218"/>
    </row>
    <row r="753" spans="4:5" ht="12">
      <c r="D753" s="218"/>
      <c r="E753" s="218"/>
    </row>
    <row r="754" spans="4:5" ht="12">
      <c r="D754" s="218"/>
      <c r="E754" s="218"/>
    </row>
    <row r="755" spans="4:5" ht="12">
      <c r="D755" s="218"/>
      <c r="E755" s="218"/>
    </row>
    <row r="756" spans="4:5" ht="12">
      <c r="D756" s="218"/>
      <c r="E756" s="218"/>
    </row>
    <row r="757" spans="4:5" ht="12">
      <c r="D757" s="218"/>
      <c r="E757" s="218"/>
    </row>
    <row r="758" spans="4:5" ht="12">
      <c r="D758" s="218"/>
      <c r="E758" s="218"/>
    </row>
    <row r="759" spans="4:5" ht="12">
      <c r="D759" s="218"/>
      <c r="E759" s="218"/>
    </row>
    <row r="760" spans="4:5" ht="12">
      <c r="D760" s="218"/>
      <c r="E760" s="218"/>
    </row>
    <row r="761" spans="4:5" ht="12">
      <c r="D761" s="218"/>
      <c r="E761" s="218"/>
    </row>
    <row r="762" spans="4:5" ht="12">
      <c r="D762" s="218"/>
      <c r="E762" s="218"/>
    </row>
    <row r="763" spans="4:5" ht="12">
      <c r="D763" s="218"/>
      <c r="E763" s="218"/>
    </row>
    <row r="764" spans="4:5" ht="12">
      <c r="D764" s="218"/>
      <c r="E764" s="218"/>
    </row>
    <row r="765" spans="4:5" ht="12">
      <c r="D765" s="218"/>
      <c r="E765" s="218"/>
    </row>
    <row r="766" spans="4:5" ht="12">
      <c r="D766" s="218"/>
      <c r="E766" s="218"/>
    </row>
    <row r="767" spans="4:5" ht="12">
      <c r="D767" s="218"/>
      <c r="E767" s="218"/>
    </row>
    <row r="768" spans="4:5" ht="12">
      <c r="D768" s="218"/>
      <c r="E768" s="218"/>
    </row>
    <row r="769" spans="4:5" ht="12">
      <c r="D769" s="218"/>
      <c r="E769" s="218"/>
    </row>
    <row r="770" spans="4:5" ht="12">
      <c r="D770" s="218"/>
      <c r="E770" s="218"/>
    </row>
    <row r="771" spans="4:5" ht="12">
      <c r="D771" s="218"/>
      <c r="E771" s="218"/>
    </row>
    <row r="772" spans="4:5" ht="12">
      <c r="D772" s="218"/>
      <c r="E772" s="218"/>
    </row>
    <row r="773" spans="4:5" ht="12">
      <c r="D773" s="218"/>
      <c r="E773" s="218"/>
    </row>
    <row r="774" spans="4:5" ht="12">
      <c r="D774" s="218"/>
      <c r="E774" s="218"/>
    </row>
    <row r="775" spans="4:5" ht="12">
      <c r="D775" s="218"/>
      <c r="E775" s="218"/>
    </row>
    <row r="776" spans="4:5" ht="12">
      <c r="D776" s="218"/>
      <c r="E776" s="218"/>
    </row>
    <row r="777" spans="4:5" ht="12">
      <c r="D777" s="218"/>
      <c r="E777" s="218"/>
    </row>
    <row r="778" spans="4:5" ht="12">
      <c r="D778" s="218"/>
      <c r="E778" s="218"/>
    </row>
    <row r="779" spans="4:5" ht="12">
      <c r="D779" s="218"/>
      <c r="E779" s="218"/>
    </row>
    <row r="780" spans="4:5" ht="12">
      <c r="D780" s="218"/>
      <c r="E780" s="218"/>
    </row>
    <row r="781" spans="4:5" ht="12">
      <c r="D781" s="218"/>
      <c r="E781" s="218"/>
    </row>
    <row r="782" spans="4:5" ht="12">
      <c r="D782" s="218"/>
      <c r="E782" s="218"/>
    </row>
    <row r="783" spans="4:5" ht="12">
      <c r="D783" s="218"/>
      <c r="E783" s="218"/>
    </row>
    <row r="784" spans="4:5" ht="12">
      <c r="D784" s="218"/>
      <c r="E784" s="218"/>
    </row>
    <row r="785" spans="4:5" ht="12">
      <c r="D785" s="218"/>
      <c r="E785" s="218"/>
    </row>
    <row r="786" spans="4:5" ht="12">
      <c r="D786" s="218"/>
      <c r="E786" s="218"/>
    </row>
    <row r="787" spans="4:5" ht="12">
      <c r="D787" s="218"/>
      <c r="E787" s="218"/>
    </row>
    <row r="788" spans="4:5" ht="12">
      <c r="D788" s="218"/>
      <c r="E788" s="218"/>
    </row>
    <row r="789" spans="4:5" ht="12">
      <c r="D789" s="218"/>
      <c r="E789" s="218"/>
    </row>
    <row r="790" spans="4:5" ht="12">
      <c r="D790" s="218"/>
      <c r="E790" s="218"/>
    </row>
    <row r="791" spans="4:5" ht="12">
      <c r="D791" s="218"/>
      <c r="E791" s="218"/>
    </row>
    <row r="792" spans="4:5" ht="12">
      <c r="D792" s="218"/>
      <c r="E792" s="218"/>
    </row>
    <row r="793" spans="4:5" ht="12">
      <c r="D793" s="218"/>
      <c r="E793" s="218"/>
    </row>
    <row r="794" spans="4:5" ht="12">
      <c r="D794" s="218"/>
      <c r="E794" s="218"/>
    </row>
    <row r="795" spans="4:5" ht="12">
      <c r="D795" s="218"/>
      <c r="E795" s="218"/>
    </row>
    <row r="796" spans="4:5" ht="12">
      <c r="D796" s="218"/>
      <c r="E796" s="218"/>
    </row>
    <row r="797" spans="4:5" ht="12">
      <c r="D797" s="218"/>
      <c r="E797" s="218"/>
    </row>
    <row r="798" spans="4:5" ht="12">
      <c r="D798" s="218"/>
      <c r="E798" s="218"/>
    </row>
    <row r="799" spans="4:5" ht="12">
      <c r="D799" s="218"/>
      <c r="E799" s="218"/>
    </row>
    <row r="800" spans="4:5" ht="12">
      <c r="D800" s="218"/>
      <c r="E800" s="218"/>
    </row>
    <row r="801" spans="4:5" ht="12">
      <c r="D801" s="218"/>
      <c r="E801" s="218"/>
    </row>
    <row r="802" spans="4:5" ht="12">
      <c r="D802" s="218"/>
      <c r="E802" s="218"/>
    </row>
    <row r="803" spans="4:5" ht="12">
      <c r="D803" s="218"/>
      <c r="E803" s="218"/>
    </row>
    <row r="804" spans="4:5" ht="12">
      <c r="D804" s="218"/>
      <c r="E804" s="218"/>
    </row>
    <row r="805" spans="4:5" ht="12">
      <c r="D805" s="218"/>
      <c r="E805" s="218"/>
    </row>
    <row r="806" spans="4:5" ht="12">
      <c r="D806" s="218"/>
      <c r="E806" s="218"/>
    </row>
    <row r="807" spans="4:5" ht="12">
      <c r="D807" s="218"/>
      <c r="E807" s="218"/>
    </row>
    <row r="808" spans="4:5" ht="12">
      <c r="D808" s="218"/>
      <c r="E808" s="218"/>
    </row>
    <row r="809" spans="4:5" ht="12">
      <c r="D809" s="218"/>
      <c r="E809" s="218"/>
    </row>
    <row r="810" spans="4:5" ht="12">
      <c r="D810" s="218"/>
      <c r="E810" s="218"/>
    </row>
    <row r="811" spans="4:5" ht="12">
      <c r="D811" s="218"/>
      <c r="E811" s="218"/>
    </row>
    <row r="812" spans="4:5" ht="12">
      <c r="D812" s="218"/>
      <c r="E812" s="218"/>
    </row>
    <row r="813" spans="4:5" ht="12">
      <c r="D813" s="218"/>
      <c r="E813" s="218"/>
    </row>
    <row r="814" spans="4:5" ht="12">
      <c r="D814" s="218"/>
      <c r="E814" s="218"/>
    </row>
    <row r="815" spans="4:5" ht="12">
      <c r="D815" s="218"/>
      <c r="E815" s="218"/>
    </row>
    <row r="816" spans="4:5" ht="12">
      <c r="D816" s="218"/>
      <c r="E816" s="218"/>
    </row>
    <row r="817" spans="4:5" ht="12">
      <c r="D817" s="218"/>
      <c r="E817" s="218"/>
    </row>
    <row r="818" spans="4:5" ht="12">
      <c r="D818" s="218"/>
      <c r="E818" s="218"/>
    </row>
    <row r="819" spans="4:5" ht="12">
      <c r="D819" s="218"/>
      <c r="E819" s="218"/>
    </row>
    <row r="820" spans="4:5" ht="12">
      <c r="D820" s="218"/>
      <c r="E820" s="218"/>
    </row>
    <row r="821" spans="4:5" ht="12">
      <c r="D821" s="218"/>
      <c r="E821" s="218"/>
    </row>
    <row r="822" spans="4:5" ht="12">
      <c r="D822" s="218"/>
      <c r="E822" s="218"/>
    </row>
    <row r="823" spans="4:5" ht="12">
      <c r="D823" s="218"/>
      <c r="E823" s="218"/>
    </row>
    <row r="824" spans="4:5" ht="12">
      <c r="D824" s="218"/>
      <c r="E824" s="218"/>
    </row>
    <row r="825" spans="4:5" ht="12">
      <c r="D825" s="218"/>
      <c r="E825" s="218"/>
    </row>
    <row r="826" spans="4:5" ht="12">
      <c r="D826" s="218"/>
      <c r="E826" s="218"/>
    </row>
    <row r="827" spans="4:5" ht="12">
      <c r="D827" s="218"/>
      <c r="E827" s="218"/>
    </row>
    <row r="828" spans="4:5" ht="12">
      <c r="D828" s="218"/>
      <c r="E828" s="218"/>
    </row>
    <row r="829" spans="4:5" ht="12">
      <c r="D829" s="218"/>
      <c r="E829" s="218"/>
    </row>
    <row r="830" spans="4:5" ht="12">
      <c r="D830" s="218"/>
      <c r="E830" s="218"/>
    </row>
    <row r="831" spans="4:5" ht="12">
      <c r="D831" s="218"/>
      <c r="E831" s="218"/>
    </row>
    <row r="832" spans="4:5" ht="12">
      <c r="D832" s="218"/>
      <c r="E832" s="218"/>
    </row>
    <row r="833" spans="4:5" ht="12">
      <c r="D833" s="218"/>
      <c r="E833" s="218"/>
    </row>
    <row r="834" spans="4:5" ht="12">
      <c r="D834" s="218"/>
      <c r="E834" s="218"/>
    </row>
    <row r="835" spans="4:5" ht="12">
      <c r="D835" s="218"/>
      <c r="E835" s="218"/>
    </row>
    <row r="836" spans="4:5" ht="12">
      <c r="D836" s="218"/>
      <c r="E836" s="218"/>
    </row>
    <row r="837" spans="4:5" ht="12">
      <c r="D837" s="218"/>
      <c r="E837" s="218"/>
    </row>
    <row r="838" spans="4:5" ht="12">
      <c r="D838" s="218"/>
      <c r="E838" s="218"/>
    </row>
    <row r="839" spans="4:5" ht="12">
      <c r="D839" s="218"/>
      <c r="E839" s="218"/>
    </row>
    <row r="840" spans="4:5" ht="12">
      <c r="D840" s="218"/>
      <c r="E840" s="218"/>
    </row>
    <row r="841" spans="4:5" ht="12">
      <c r="D841" s="218"/>
      <c r="E841" s="218"/>
    </row>
    <row r="842" spans="4:5" ht="12">
      <c r="D842" s="218"/>
      <c r="E842" s="218"/>
    </row>
    <row r="843" spans="4:5" ht="12">
      <c r="D843" s="218"/>
      <c r="E843" s="218"/>
    </row>
    <row r="844" spans="4:5" ht="12">
      <c r="D844" s="218"/>
      <c r="E844" s="218"/>
    </row>
    <row r="845" spans="4:5" ht="12">
      <c r="D845" s="218"/>
      <c r="E845" s="218"/>
    </row>
    <row r="846" spans="4:5" ht="12">
      <c r="D846" s="218"/>
      <c r="E846" s="218"/>
    </row>
    <row r="847" spans="4:5" ht="12">
      <c r="D847" s="218"/>
      <c r="E847" s="218"/>
    </row>
    <row r="848" spans="4:5" ht="12">
      <c r="D848" s="218"/>
      <c r="E848" s="218"/>
    </row>
    <row r="849" spans="4:5" ht="12">
      <c r="D849" s="218"/>
      <c r="E849" s="218"/>
    </row>
    <row r="850" spans="4:5" ht="12">
      <c r="D850" s="218"/>
      <c r="E850" s="218"/>
    </row>
    <row r="851" spans="4:5" ht="12">
      <c r="D851" s="218"/>
      <c r="E851" s="218"/>
    </row>
    <row r="852" spans="4:5" ht="12">
      <c r="D852" s="218"/>
      <c r="E852" s="218"/>
    </row>
    <row r="853" spans="4:5" ht="12">
      <c r="D853" s="218"/>
      <c r="E853" s="218"/>
    </row>
    <row r="854" spans="4:5" ht="12">
      <c r="D854" s="218"/>
      <c r="E854" s="218"/>
    </row>
    <row r="855" spans="4:5" ht="12">
      <c r="D855" s="218"/>
      <c r="E855" s="218"/>
    </row>
    <row r="856" spans="4:5" ht="12">
      <c r="D856" s="218"/>
      <c r="E856" s="218"/>
    </row>
    <row r="857" spans="4:5" ht="12">
      <c r="D857" s="218"/>
      <c r="E857" s="218"/>
    </row>
    <row r="858" spans="4:5" ht="12">
      <c r="D858" s="218"/>
      <c r="E858" s="218"/>
    </row>
    <row r="859" spans="4:5" ht="12">
      <c r="D859" s="218"/>
      <c r="E859" s="218"/>
    </row>
    <row r="860" spans="4:5" ht="12">
      <c r="D860" s="218"/>
      <c r="E860" s="218"/>
    </row>
    <row r="861" spans="4:5" ht="12">
      <c r="D861" s="218"/>
      <c r="E861" s="218"/>
    </row>
    <row r="862" spans="4:5" ht="12">
      <c r="D862" s="218"/>
      <c r="E862" s="218"/>
    </row>
    <row r="863" spans="4:5" ht="12">
      <c r="D863" s="218"/>
      <c r="E863" s="218"/>
    </row>
    <row r="864" spans="4:5" ht="12">
      <c r="D864" s="218"/>
      <c r="E864" s="218"/>
    </row>
    <row r="865" spans="4:5" ht="12">
      <c r="D865" s="218"/>
      <c r="E865" s="218"/>
    </row>
    <row r="866" spans="4:5" ht="12">
      <c r="D866" s="218"/>
      <c r="E866" s="218"/>
    </row>
    <row r="867" spans="4:5" ht="12">
      <c r="D867" s="218"/>
      <c r="E867" s="218"/>
    </row>
    <row r="868" spans="4:5" ht="12">
      <c r="D868" s="218"/>
      <c r="E868" s="218"/>
    </row>
    <row r="869" spans="4:5" ht="12">
      <c r="D869" s="218"/>
      <c r="E869" s="218"/>
    </row>
    <row r="870" spans="4:5" ht="12">
      <c r="D870" s="218"/>
      <c r="E870" s="218"/>
    </row>
    <row r="871" spans="4:5" ht="12">
      <c r="D871" s="218"/>
      <c r="E871" s="218"/>
    </row>
    <row r="872" spans="4:5" ht="12">
      <c r="D872" s="218"/>
      <c r="E872" s="218"/>
    </row>
    <row r="873" spans="4:5" ht="12">
      <c r="D873" s="218"/>
      <c r="E873" s="218"/>
    </row>
    <row r="874" spans="4:5" ht="12">
      <c r="D874" s="218"/>
      <c r="E874" s="218"/>
    </row>
    <row r="875" spans="4:5" ht="12">
      <c r="D875" s="218"/>
      <c r="E875" s="218"/>
    </row>
    <row r="876" spans="4:5" ht="12">
      <c r="D876" s="218"/>
      <c r="E876" s="218"/>
    </row>
    <row r="877" spans="4:5" ht="12">
      <c r="D877" s="218"/>
      <c r="E877" s="218"/>
    </row>
    <row r="878" spans="4:5" ht="12">
      <c r="D878" s="218"/>
      <c r="E878" s="218"/>
    </row>
    <row r="879" spans="4:5" ht="12">
      <c r="D879" s="218"/>
      <c r="E879" s="218"/>
    </row>
    <row r="880" spans="4:5" ht="12">
      <c r="D880" s="218"/>
      <c r="E880" s="218"/>
    </row>
    <row r="881" spans="4:5" ht="12">
      <c r="D881" s="218"/>
      <c r="E881" s="218"/>
    </row>
    <row r="882" spans="4:5" ht="12">
      <c r="D882" s="218"/>
      <c r="E882" s="218"/>
    </row>
    <row r="883" spans="4:5" ht="12">
      <c r="D883" s="218"/>
      <c r="E883" s="218"/>
    </row>
    <row r="884" spans="4:5" ht="12">
      <c r="D884" s="218"/>
      <c r="E884" s="218"/>
    </row>
    <row r="885" spans="4:5" ht="12">
      <c r="D885" s="218"/>
      <c r="E885" s="218"/>
    </row>
    <row r="886" spans="4:5" ht="12">
      <c r="D886" s="218"/>
      <c r="E886" s="218"/>
    </row>
    <row r="887" spans="4:5" ht="12">
      <c r="D887" s="218"/>
      <c r="E887" s="218"/>
    </row>
    <row r="888" spans="4:5" ht="12">
      <c r="D888" s="218"/>
      <c r="E888" s="218"/>
    </row>
    <row r="889" spans="4:5" ht="12">
      <c r="D889" s="218"/>
      <c r="E889" s="218"/>
    </row>
    <row r="890" spans="4:5" ht="12">
      <c r="D890" s="218"/>
      <c r="E890" s="218"/>
    </row>
    <row r="891" spans="4:5" ht="12">
      <c r="D891" s="218"/>
      <c r="E891" s="218"/>
    </row>
    <row r="892" spans="4:5" ht="12">
      <c r="D892" s="218"/>
      <c r="E892" s="218"/>
    </row>
    <row r="893" spans="4:5" ht="12">
      <c r="D893" s="218"/>
      <c r="E893" s="218"/>
    </row>
    <row r="894" spans="4:5" ht="12">
      <c r="D894" s="218"/>
      <c r="E894" s="218"/>
    </row>
    <row r="895" spans="4:5" ht="12">
      <c r="D895" s="218"/>
      <c r="E895" s="218"/>
    </row>
    <row r="896" spans="4:5" ht="12">
      <c r="D896" s="218"/>
      <c r="E896" s="218"/>
    </row>
    <row r="897" spans="4:5" ht="12">
      <c r="D897" s="218"/>
      <c r="E897" s="218"/>
    </row>
    <row r="898" spans="4:5" ht="12">
      <c r="D898" s="218"/>
      <c r="E898" s="218"/>
    </row>
    <row r="899" spans="4:5" ht="12">
      <c r="D899" s="218"/>
      <c r="E899" s="218"/>
    </row>
    <row r="900" spans="4:5" ht="12">
      <c r="D900" s="218"/>
      <c r="E900" s="218"/>
    </row>
    <row r="901" spans="4:5" ht="12">
      <c r="D901" s="218"/>
      <c r="E901" s="218"/>
    </row>
    <row r="902" spans="4:5" ht="12">
      <c r="D902" s="218"/>
      <c r="E902" s="218"/>
    </row>
    <row r="903" spans="4:5" ht="12">
      <c r="D903" s="218"/>
      <c r="E903" s="218"/>
    </row>
    <row r="904" spans="4:5" ht="12">
      <c r="D904" s="218"/>
      <c r="E904" s="218"/>
    </row>
    <row r="905" spans="4:5" ht="12">
      <c r="D905" s="218"/>
      <c r="E905" s="218"/>
    </row>
    <row r="906" spans="4:5" ht="12">
      <c r="D906" s="218"/>
      <c r="E906" s="218"/>
    </row>
    <row r="907" spans="4:5" ht="12">
      <c r="D907" s="218"/>
      <c r="E907" s="218"/>
    </row>
    <row r="908" spans="4:5" ht="12">
      <c r="D908" s="218"/>
      <c r="E908" s="218"/>
    </row>
    <row r="909" spans="4:5" ht="12">
      <c r="D909" s="218"/>
      <c r="E909" s="218"/>
    </row>
    <row r="910" spans="4:5" ht="12">
      <c r="D910" s="218"/>
      <c r="E910" s="218"/>
    </row>
    <row r="911" spans="4:5" ht="12">
      <c r="D911" s="218"/>
      <c r="E911" s="218"/>
    </row>
    <row r="912" spans="4:5" ht="12">
      <c r="D912" s="218"/>
      <c r="E912" s="218"/>
    </row>
    <row r="913" spans="4:5" ht="12">
      <c r="D913" s="218"/>
      <c r="E913" s="218"/>
    </row>
    <row r="914" spans="4:5" ht="12">
      <c r="D914" s="218"/>
      <c r="E914" s="218"/>
    </row>
    <row r="915" spans="4:5" ht="12">
      <c r="D915" s="218"/>
      <c r="E915" s="218"/>
    </row>
    <row r="916" spans="4:5" ht="12">
      <c r="D916" s="218"/>
      <c r="E916" s="218"/>
    </row>
    <row r="917" spans="4:5" ht="12">
      <c r="D917" s="218"/>
      <c r="E917" s="218"/>
    </row>
    <row r="918" spans="4:5" ht="12">
      <c r="D918" s="218"/>
      <c r="E918" s="218"/>
    </row>
    <row r="919" spans="4:5" ht="12">
      <c r="D919" s="218"/>
      <c r="E919" s="218"/>
    </row>
    <row r="920" spans="4:5" ht="12">
      <c r="D920" s="218"/>
      <c r="E920" s="218"/>
    </row>
    <row r="921" spans="4:5" ht="12">
      <c r="D921" s="218"/>
      <c r="E921" s="218"/>
    </row>
    <row r="922" spans="4:5" ht="12">
      <c r="D922" s="218"/>
      <c r="E922" s="218"/>
    </row>
    <row r="923" spans="4:5" ht="12">
      <c r="D923" s="218"/>
      <c r="E923" s="218"/>
    </row>
    <row r="924" spans="4:5" ht="12">
      <c r="D924" s="218"/>
      <c r="E924" s="218"/>
    </row>
    <row r="925" spans="4:5" ht="12">
      <c r="D925" s="218"/>
      <c r="E925" s="218"/>
    </row>
    <row r="926" spans="4:5" ht="12">
      <c r="D926" s="218"/>
      <c r="E926" s="218"/>
    </row>
    <row r="927" spans="4:5" ht="12">
      <c r="D927" s="218"/>
      <c r="E927" s="218"/>
    </row>
    <row r="928" spans="4:5" ht="12">
      <c r="D928" s="218"/>
      <c r="E928" s="218"/>
    </row>
    <row r="929" spans="4:5" ht="12">
      <c r="D929" s="218"/>
      <c r="E929" s="218"/>
    </row>
    <row r="930" spans="4:5" ht="12">
      <c r="D930" s="218"/>
      <c r="E930" s="218"/>
    </row>
    <row r="931" spans="4:5" ht="12">
      <c r="D931" s="218"/>
      <c r="E931" s="218"/>
    </row>
    <row r="932" spans="4:5" ht="12">
      <c r="D932" s="218"/>
      <c r="E932" s="218"/>
    </row>
    <row r="933" spans="4:5" ht="12">
      <c r="D933" s="218"/>
      <c r="E933" s="218"/>
    </row>
    <row r="934" spans="4:5" ht="12">
      <c r="D934" s="218"/>
      <c r="E934" s="218"/>
    </row>
    <row r="935" spans="4:5" ht="12">
      <c r="D935" s="218"/>
      <c r="E935" s="218"/>
    </row>
    <row r="936" spans="4:5" ht="12">
      <c r="D936" s="218"/>
      <c r="E936" s="218"/>
    </row>
    <row r="937" spans="4:5" ht="12">
      <c r="D937" s="218"/>
      <c r="E937" s="218"/>
    </row>
    <row r="938" spans="4:5" ht="12">
      <c r="D938" s="218"/>
      <c r="E938" s="218"/>
    </row>
    <row r="939" spans="4:5" ht="12">
      <c r="D939" s="218"/>
      <c r="E939" s="218"/>
    </row>
    <row r="940" spans="4:5" ht="12">
      <c r="D940" s="218"/>
      <c r="E940" s="218"/>
    </row>
    <row r="941" spans="4:5" ht="12">
      <c r="D941" s="218"/>
      <c r="E941" s="218"/>
    </row>
    <row r="942" spans="4:5" ht="12">
      <c r="D942" s="218"/>
      <c r="E942" s="218"/>
    </row>
    <row r="943" spans="4:5" ht="12">
      <c r="D943" s="218"/>
      <c r="E943" s="218"/>
    </row>
    <row r="944" spans="4:5" ht="12">
      <c r="D944" s="218"/>
      <c r="E944" s="218"/>
    </row>
    <row r="945" spans="4:5" ht="12">
      <c r="D945" s="218"/>
      <c r="E945" s="218"/>
    </row>
    <row r="946" spans="4:5" ht="12">
      <c r="D946" s="218"/>
      <c r="E946" s="218"/>
    </row>
    <row r="947" spans="4:5" ht="12">
      <c r="D947" s="218"/>
      <c r="E947" s="218"/>
    </row>
    <row r="948" spans="4:5" ht="12">
      <c r="D948" s="218"/>
      <c r="E948" s="218"/>
    </row>
    <row r="949" spans="4:5" ht="12">
      <c r="D949" s="218"/>
      <c r="E949" s="218"/>
    </row>
    <row r="950" spans="4:5" ht="12">
      <c r="D950" s="218"/>
      <c r="E950" s="218"/>
    </row>
    <row r="951" spans="4:5" ht="12">
      <c r="D951" s="218"/>
      <c r="E951" s="218"/>
    </row>
    <row r="952" spans="4:5" ht="12">
      <c r="D952" s="218"/>
      <c r="E952" s="218"/>
    </row>
    <row r="953" spans="4:5" ht="12">
      <c r="D953" s="218"/>
      <c r="E953" s="218"/>
    </row>
    <row r="954" spans="4:5" ht="12">
      <c r="D954" s="218"/>
      <c r="E954" s="218"/>
    </row>
    <row r="955" spans="4:5" ht="12">
      <c r="D955" s="218"/>
      <c r="E955" s="218"/>
    </row>
    <row r="956" spans="4:5" ht="12">
      <c r="D956" s="218"/>
      <c r="E956" s="218"/>
    </row>
    <row r="957" spans="4:5" ht="12">
      <c r="D957" s="218"/>
      <c r="E957" s="218"/>
    </row>
    <row r="958" spans="4:5" ht="12">
      <c r="D958" s="218"/>
      <c r="E958" s="218"/>
    </row>
    <row r="959" spans="4:5" ht="12">
      <c r="D959" s="218"/>
      <c r="E959" s="218"/>
    </row>
    <row r="960" spans="4:5" ht="12">
      <c r="D960" s="218"/>
      <c r="E960" s="218"/>
    </row>
    <row r="961" spans="4:5" ht="12">
      <c r="D961" s="218"/>
      <c r="E961" s="218"/>
    </row>
    <row r="962" spans="4:5" ht="12">
      <c r="D962" s="218"/>
      <c r="E962" s="218"/>
    </row>
    <row r="963" spans="4:5" ht="12">
      <c r="D963" s="218"/>
      <c r="E963" s="218"/>
    </row>
    <row r="964" spans="4:5" ht="12">
      <c r="D964" s="218"/>
      <c r="E964" s="218"/>
    </row>
    <row r="965" spans="4:5" ht="12">
      <c r="D965" s="218"/>
      <c r="E965" s="218"/>
    </row>
    <row r="966" spans="4:5" ht="12">
      <c r="D966" s="218"/>
      <c r="E966" s="218"/>
    </row>
    <row r="967" spans="4:5" ht="12">
      <c r="D967" s="218"/>
      <c r="E967" s="218"/>
    </row>
    <row r="968" spans="4:5" ht="12">
      <c r="D968" s="218"/>
      <c r="E968" s="218"/>
    </row>
    <row r="969" spans="4:5" ht="12">
      <c r="D969" s="218"/>
      <c r="E969" s="218"/>
    </row>
    <row r="970" spans="4:5" ht="12">
      <c r="D970" s="218"/>
      <c r="E970" s="218"/>
    </row>
    <row r="971" spans="4:5" ht="12">
      <c r="D971" s="218"/>
      <c r="E971" s="218"/>
    </row>
    <row r="972" spans="4:5" ht="12">
      <c r="D972" s="218"/>
      <c r="E972" s="218"/>
    </row>
    <row r="973" spans="4:5" ht="12">
      <c r="D973" s="218"/>
      <c r="E973" s="218"/>
    </row>
    <row r="974" spans="4:5" ht="12">
      <c r="D974" s="218"/>
      <c r="E974" s="218"/>
    </row>
    <row r="975" spans="4:5" ht="12">
      <c r="D975" s="218"/>
      <c r="E975" s="218"/>
    </row>
    <row r="976" spans="4:5" ht="12">
      <c r="D976" s="218"/>
      <c r="E976" s="218"/>
    </row>
    <row r="977" spans="4:5" ht="12">
      <c r="D977" s="218"/>
      <c r="E977" s="218"/>
    </row>
    <row r="978" spans="4:5" ht="12">
      <c r="D978" s="218"/>
      <c r="E978" s="218"/>
    </row>
    <row r="979" spans="4:5" ht="12">
      <c r="D979" s="218"/>
      <c r="E979" s="218"/>
    </row>
    <row r="980" spans="4:5" ht="12">
      <c r="D980" s="218"/>
      <c r="E980" s="218"/>
    </row>
    <row r="981" spans="4:5" ht="12">
      <c r="D981" s="218"/>
      <c r="E981" s="218"/>
    </row>
    <row r="982" spans="4:5" ht="12">
      <c r="D982" s="218"/>
      <c r="E982" s="218"/>
    </row>
    <row r="983" spans="4:5" ht="12">
      <c r="D983" s="218"/>
      <c r="E983" s="218"/>
    </row>
    <row r="984" spans="4:5" ht="12">
      <c r="D984" s="218"/>
      <c r="E984" s="218"/>
    </row>
    <row r="985" spans="4:5" ht="12">
      <c r="D985" s="218"/>
      <c r="E985" s="218"/>
    </row>
    <row r="986" spans="4:5" ht="12">
      <c r="D986" s="218"/>
      <c r="E986" s="218"/>
    </row>
    <row r="987" spans="4:5" ht="12">
      <c r="D987" s="218"/>
      <c r="E987" s="218"/>
    </row>
    <row r="988" spans="4:5" ht="12">
      <c r="D988" s="218"/>
      <c r="E988" s="218"/>
    </row>
    <row r="989" spans="4:5" ht="12">
      <c r="D989" s="218"/>
      <c r="E989" s="218"/>
    </row>
    <row r="990" spans="4:5" ht="12">
      <c r="D990" s="218"/>
      <c r="E990" s="218"/>
    </row>
    <row r="991" spans="4:5" ht="12">
      <c r="D991" s="218"/>
      <c r="E991" s="218"/>
    </row>
    <row r="992" spans="4:5" ht="12">
      <c r="D992" s="218"/>
      <c r="E992" s="218"/>
    </row>
    <row r="993" spans="4:5" ht="12">
      <c r="D993" s="218"/>
      <c r="E993" s="218"/>
    </row>
    <row r="994" spans="4:5" ht="12">
      <c r="D994" s="218"/>
      <c r="E994" s="218"/>
    </row>
    <row r="995" spans="4:5" ht="12">
      <c r="D995" s="218"/>
      <c r="E995" s="218"/>
    </row>
    <row r="996" spans="4:5" ht="12">
      <c r="D996" s="218"/>
      <c r="E996" s="218"/>
    </row>
    <row r="997" spans="4:5" ht="12">
      <c r="D997" s="218"/>
      <c r="E997" s="218"/>
    </row>
    <row r="998" spans="4:5" ht="12">
      <c r="D998" s="218"/>
      <c r="E998" s="218"/>
    </row>
    <row r="999" spans="4:5" ht="12">
      <c r="D999" s="218"/>
      <c r="E999" s="218"/>
    </row>
    <row r="1000" spans="4:5" ht="12">
      <c r="D1000" s="218"/>
      <c r="E1000" s="218"/>
    </row>
    <row r="1001" spans="4:5" ht="12">
      <c r="D1001" s="218"/>
      <c r="E1001" s="218"/>
    </row>
    <row r="1002" spans="4:5" ht="12">
      <c r="D1002" s="218"/>
      <c r="E1002" s="218"/>
    </row>
    <row r="1003" spans="4:5" ht="12">
      <c r="D1003" s="218"/>
      <c r="E1003" s="218"/>
    </row>
    <row r="1004" spans="4:5" ht="12">
      <c r="D1004" s="218"/>
      <c r="E1004" s="218"/>
    </row>
    <row r="1005" spans="4:5" ht="12">
      <c r="D1005" s="218"/>
      <c r="E1005" s="218"/>
    </row>
    <row r="1006" spans="4:5" ht="12">
      <c r="D1006" s="218"/>
      <c r="E1006" s="218"/>
    </row>
    <row r="1007" spans="4:5" ht="12">
      <c r="D1007" s="218"/>
      <c r="E1007" s="218"/>
    </row>
    <row r="1008" spans="4:5" ht="12">
      <c r="D1008" s="218"/>
      <c r="E1008" s="218"/>
    </row>
    <row r="1009" spans="4:5" ht="12">
      <c r="D1009" s="218"/>
      <c r="E1009" s="218"/>
    </row>
    <row r="1010" spans="4:5" ht="12">
      <c r="D1010" s="218"/>
      <c r="E1010" s="218"/>
    </row>
  </sheetData>
  <mergeCells count="57">
    <mergeCell ref="H250:I250"/>
    <mergeCell ref="F250:G250"/>
    <mergeCell ref="D250:E250"/>
    <mergeCell ref="B250:C250"/>
    <mergeCell ref="B234:C234"/>
    <mergeCell ref="D234:E234"/>
    <mergeCell ref="F234:G234"/>
    <mergeCell ref="H234:I234"/>
    <mergeCell ref="B179:C179"/>
    <mergeCell ref="D179:E179"/>
    <mergeCell ref="F179:G179"/>
    <mergeCell ref="H179:I179"/>
    <mergeCell ref="B163:C163"/>
    <mergeCell ref="D163:E163"/>
    <mergeCell ref="F163:G163"/>
    <mergeCell ref="H163:I163"/>
    <mergeCell ref="B113:C113"/>
    <mergeCell ref="D113:E113"/>
    <mergeCell ref="F113:G113"/>
    <mergeCell ref="H113:I113"/>
    <mergeCell ref="B97:C97"/>
    <mergeCell ref="D97:E97"/>
    <mergeCell ref="F97:G97"/>
    <mergeCell ref="H97:I97"/>
    <mergeCell ref="B75:C75"/>
    <mergeCell ref="D75:E75"/>
    <mergeCell ref="F75:G75"/>
    <mergeCell ref="H75:I75"/>
    <mergeCell ref="F42:G42"/>
    <mergeCell ref="H42:I42"/>
    <mergeCell ref="B59:C59"/>
    <mergeCell ref="D59:E59"/>
    <mergeCell ref="F59:G59"/>
    <mergeCell ref="H59:I59"/>
    <mergeCell ref="B42:C42"/>
    <mergeCell ref="B217:C217"/>
    <mergeCell ref="D217:E217"/>
    <mergeCell ref="F217:G217"/>
    <mergeCell ref="H217:I217"/>
    <mergeCell ref="B201:C201"/>
    <mergeCell ref="D201:E201"/>
    <mergeCell ref="F201:G201"/>
    <mergeCell ref="H201:I201"/>
    <mergeCell ref="B146:C146"/>
    <mergeCell ref="D146:E146"/>
    <mergeCell ref="F146:G146"/>
    <mergeCell ref="H146:I146"/>
    <mergeCell ref="A19:H19"/>
    <mergeCell ref="B130:C130"/>
    <mergeCell ref="D130:E130"/>
    <mergeCell ref="F130:G130"/>
    <mergeCell ref="H130:I130"/>
    <mergeCell ref="B26:C26"/>
    <mergeCell ref="D26:E26"/>
    <mergeCell ref="F26:G26"/>
    <mergeCell ref="H26:I26"/>
    <mergeCell ref="D42:E42"/>
  </mergeCells>
  <printOptions/>
  <pageMargins left="0.75" right="0.75" top="1" bottom="1" header="0.5" footer="0.5"/>
  <pageSetup horizontalDpi="600" verticalDpi="600" orientation="portrait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D22" sqref="D22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8.7109375" style="0" customWidth="1"/>
  </cols>
  <sheetData>
    <row r="2" spans="1:9" ht="12.75">
      <c r="A2" s="51">
        <v>1998</v>
      </c>
      <c r="B2" s="51" t="s">
        <v>21</v>
      </c>
      <c r="C2" s="51" t="s">
        <v>25</v>
      </c>
      <c r="D2" s="51" t="s">
        <v>283</v>
      </c>
      <c r="E2" s="51"/>
      <c r="F2" s="52"/>
      <c r="G2" s="52"/>
      <c r="H2" s="53"/>
      <c r="I2" s="53"/>
    </row>
    <row r="3" spans="1:9" ht="12.75">
      <c r="A3" s="53"/>
      <c r="B3" s="53" t="s">
        <v>280</v>
      </c>
      <c r="C3" s="53" t="s">
        <v>279</v>
      </c>
      <c r="D3" s="53" t="s">
        <v>278</v>
      </c>
      <c r="E3" s="53"/>
      <c r="F3" s="53"/>
      <c r="G3" s="53"/>
      <c r="H3" s="53"/>
      <c r="I3" s="53"/>
    </row>
    <row r="4" spans="1:9" ht="12.75">
      <c r="A4" s="53"/>
      <c r="B4" s="53" t="s">
        <v>15</v>
      </c>
      <c r="C4" s="53" t="s">
        <v>281</v>
      </c>
      <c r="D4" s="53" t="s">
        <v>282</v>
      </c>
      <c r="E4" s="53"/>
      <c r="F4" s="53"/>
      <c r="G4" s="53"/>
      <c r="H4" s="53"/>
      <c r="I4" s="53"/>
    </row>
    <row r="5" spans="1:9" ht="12.75">
      <c r="A5" s="53" t="s">
        <v>277</v>
      </c>
      <c r="B5" s="87">
        <v>66</v>
      </c>
      <c r="C5" s="87">
        <v>41</v>
      </c>
      <c r="D5" s="87">
        <v>32.1</v>
      </c>
      <c r="E5" s="53"/>
      <c r="F5" s="53"/>
      <c r="G5" s="53"/>
      <c r="H5" s="53"/>
      <c r="I5" s="53"/>
    </row>
    <row r="6" spans="1:9" ht="12.75">
      <c r="A6" s="53" t="s">
        <v>0</v>
      </c>
      <c r="B6" s="87">
        <v>61</v>
      </c>
      <c r="C6" s="87">
        <v>46</v>
      </c>
      <c r="D6" s="87">
        <v>30.4</v>
      </c>
      <c r="E6" s="2"/>
      <c r="F6" s="2"/>
      <c r="G6" s="2"/>
      <c r="H6" s="53"/>
      <c r="I6" s="53"/>
    </row>
    <row r="7" spans="1:9" ht="12.75">
      <c r="A7" s="53" t="s">
        <v>1</v>
      </c>
      <c r="B7" s="87">
        <v>101</v>
      </c>
      <c r="C7" s="87">
        <v>36</v>
      </c>
      <c r="D7" s="87">
        <v>37.8</v>
      </c>
      <c r="E7" s="2"/>
      <c r="F7" s="2"/>
      <c r="G7" s="2"/>
      <c r="H7" s="53"/>
      <c r="I7" s="53"/>
    </row>
    <row r="8" spans="1:9" ht="12.75">
      <c r="A8" s="53" t="s">
        <v>2</v>
      </c>
      <c r="B8" s="87">
        <v>224</v>
      </c>
      <c r="C8" s="87">
        <v>50</v>
      </c>
      <c r="D8" s="87">
        <v>184</v>
      </c>
      <c r="E8" s="4"/>
      <c r="F8" s="4"/>
      <c r="G8" s="4"/>
      <c r="H8" s="53"/>
      <c r="I8" s="53"/>
    </row>
    <row r="9" spans="1:9" ht="12.75">
      <c r="A9" s="53" t="s">
        <v>3</v>
      </c>
      <c r="B9" s="87">
        <v>1170</v>
      </c>
      <c r="C9" s="87">
        <v>682</v>
      </c>
      <c r="D9" s="87">
        <v>329</v>
      </c>
      <c r="E9" s="4"/>
      <c r="F9" s="4"/>
      <c r="G9" s="4"/>
      <c r="H9" s="53"/>
      <c r="I9" s="53"/>
    </row>
    <row r="10" spans="1:9" ht="12.75">
      <c r="A10" s="53" t="s">
        <v>4</v>
      </c>
      <c r="B10" s="87">
        <v>730</v>
      </c>
      <c r="C10" s="87">
        <v>336</v>
      </c>
      <c r="D10" s="87">
        <v>52</v>
      </c>
      <c r="E10" s="4"/>
      <c r="F10" s="4"/>
      <c r="G10" s="4"/>
      <c r="H10" s="53"/>
      <c r="I10" s="53"/>
    </row>
    <row r="11" spans="1:9" ht="12.75">
      <c r="A11" s="53" t="s">
        <v>5</v>
      </c>
      <c r="B11" s="87">
        <f>(300+175)/2</f>
        <v>237.5</v>
      </c>
      <c r="C11" s="87">
        <f>(434+355)/2</f>
        <v>394.5</v>
      </c>
      <c r="D11" s="87">
        <v>36.2</v>
      </c>
      <c r="E11" s="4"/>
      <c r="F11" s="4"/>
      <c r="G11" s="4"/>
      <c r="H11" s="53"/>
      <c r="I11" s="53"/>
    </row>
    <row r="12" spans="1:9" ht="12.75">
      <c r="A12" s="53" t="s">
        <v>6</v>
      </c>
      <c r="B12" s="87">
        <f>(725+250)/2</f>
        <v>487.5</v>
      </c>
      <c r="C12" s="87">
        <v>561</v>
      </c>
      <c r="D12" s="87">
        <v>61.3</v>
      </c>
      <c r="E12" s="4"/>
      <c r="F12" s="4"/>
      <c r="G12" s="4"/>
      <c r="H12" s="53"/>
      <c r="I12" s="53"/>
    </row>
    <row r="13" spans="1:10" ht="12.75">
      <c r="A13" s="53" t="s">
        <v>7</v>
      </c>
      <c r="B13" s="87">
        <f>(475+5)/2</f>
        <v>240</v>
      </c>
      <c r="C13" s="87">
        <f>(313+96)/2</f>
        <v>204.5</v>
      </c>
      <c r="D13" s="87">
        <v>4.45</v>
      </c>
      <c r="E13" s="255" t="s">
        <v>292</v>
      </c>
      <c r="F13" s="255"/>
      <c r="G13" s="255"/>
      <c r="H13" s="255"/>
      <c r="I13" s="255"/>
      <c r="J13" s="255"/>
    </row>
    <row r="14" spans="1:9" ht="12.75">
      <c r="A14" s="53" t="s">
        <v>8</v>
      </c>
      <c r="B14" s="87">
        <v>90</v>
      </c>
      <c r="C14" s="87">
        <v>34</v>
      </c>
      <c r="D14" s="87">
        <v>8</v>
      </c>
      <c r="E14" s="4"/>
      <c r="F14" s="4"/>
      <c r="G14" s="4"/>
      <c r="H14" s="53"/>
      <c r="I14" s="53"/>
    </row>
    <row r="15" spans="1:10" ht="12.75" customHeight="1">
      <c r="A15" s="53" t="s">
        <v>9</v>
      </c>
      <c r="B15" s="87">
        <v>30</v>
      </c>
      <c r="C15" s="87">
        <v>32</v>
      </c>
      <c r="D15" s="87">
        <v>15.3</v>
      </c>
      <c r="E15" s="257">
        <v>1998</v>
      </c>
      <c r="F15" s="259" t="s">
        <v>286</v>
      </c>
      <c r="G15" s="259" t="s">
        <v>287</v>
      </c>
      <c r="H15" s="259" t="s">
        <v>288</v>
      </c>
      <c r="I15" s="256" t="s">
        <v>290</v>
      </c>
      <c r="J15" s="260" t="s">
        <v>291</v>
      </c>
    </row>
    <row r="16" spans="1:10" ht="12.75">
      <c r="A16" s="53" t="s">
        <v>10</v>
      </c>
      <c r="B16" s="87">
        <v>10</v>
      </c>
      <c r="C16" s="87">
        <v>61</v>
      </c>
      <c r="D16" s="87">
        <v>11.9</v>
      </c>
      <c r="E16" s="257"/>
      <c r="F16" s="259"/>
      <c r="G16" s="259"/>
      <c r="H16" s="259"/>
      <c r="I16" s="256"/>
      <c r="J16" s="260"/>
    </row>
    <row r="17" spans="1:10" ht="12.75">
      <c r="A17" s="53"/>
      <c r="B17" s="52" t="s">
        <v>284</v>
      </c>
      <c r="C17" s="52" t="s">
        <v>284</v>
      </c>
      <c r="D17" s="52" t="s">
        <v>284</v>
      </c>
      <c r="E17" s="257"/>
      <c r="F17" s="258" t="s">
        <v>285</v>
      </c>
      <c r="G17" s="258"/>
      <c r="H17" s="258"/>
      <c r="I17" s="258"/>
      <c r="J17" s="258"/>
    </row>
    <row r="18" spans="1:10" ht="12.75">
      <c r="A18" s="53" t="s">
        <v>277</v>
      </c>
      <c r="B18" s="87">
        <f aca="true" t="shared" si="0" ref="B18:D29">+B5*1.983</f>
        <v>130.87800000000001</v>
      </c>
      <c r="C18" s="87">
        <f t="shared" si="0"/>
        <v>81.303</v>
      </c>
      <c r="D18" s="87">
        <f t="shared" si="0"/>
        <v>63.654300000000006</v>
      </c>
      <c r="E18" s="91" t="s">
        <v>277</v>
      </c>
      <c r="F18" s="89">
        <f>+C18*31</f>
        <v>2520.393</v>
      </c>
      <c r="G18" s="89">
        <f>+D18*31</f>
        <v>1973.2833000000003</v>
      </c>
      <c r="H18" s="89">
        <f aca="true" t="shared" si="1" ref="H18:H29">SUM(F18:G18)</f>
        <v>4493.6763</v>
      </c>
      <c r="I18" s="90">
        <f>+B18*28</f>
        <v>3664.5840000000003</v>
      </c>
      <c r="J18" s="94">
        <f>H18-I18</f>
        <v>829.0922999999998</v>
      </c>
    </row>
    <row r="19" spans="1:10" ht="12.75">
      <c r="A19" s="53" t="s">
        <v>0</v>
      </c>
      <c r="B19" s="87">
        <f t="shared" si="0"/>
        <v>120.96300000000001</v>
      </c>
      <c r="C19" s="87">
        <f t="shared" si="0"/>
        <v>91.218</v>
      </c>
      <c r="D19" s="87">
        <f t="shared" si="0"/>
        <v>60.2832</v>
      </c>
      <c r="E19" s="91" t="s">
        <v>0</v>
      </c>
      <c r="F19" s="89">
        <f>+C19*28</f>
        <v>2554.1040000000003</v>
      </c>
      <c r="G19" s="89">
        <f>+D19*28</f>
        <v>1687.9296</v>
      </c>
      <c r="H19" s="89">
        <f t="shared" si="1"/>
        <v>4242.033600000001</v>
      </c>
      <c r="I19" s="90">
        <f>+B19*28</f>
        <v>3386.9640000000004</v>
      </c>
      <c r="J19" s="94">
        <f aca="true" t="shared" si="2" ref="J19:J30">H19-I19</f>
        <v>855.0696000000003</v>
      </c>
    </row>
    <row r="20" spans="1:10" ht="12.75">
      <c r="A20" s="53" t="s">
        <v>1</v>
      </c>
      <c r="B20" s="87">
        <f t="shared" si="0"/>
        <v>200.28300000000002</v>
      </c>
      <c r="C20" s="87">
        <f t="shared" si="0"/>
        <v>71.388</v>
      </c>
      <c r="D20" s="87">
        <f t="shared" si="0"/>
        <v>74.95739999999999</v>
      </c>
      <c r="E20" s="91" t="s">
        <v>1</v>
      </c>
      <c r="F20" s="89">
        <f>+C20*31</f>
        <v>2213.0280000000002</v>
      </c>
      <c r="G20" s="89">
        <f>+D20*31</f>
        <v>2323.6794</v>
      </c>
      <c r="H20" s="89">
        <f t="shared" si="1"/>
        <v>4536.7074</v>
      </c>
      <c r="I20" s="90">
        <f>+B20*31</f>
        <v>6208.773</v>
      </c>
      <c r="J20" s="94">
        <f t="shared" si="2"/>
        <v>-1672.0656</v>
      </c>
    </row>
    <row r="21" spans="1:10" ht="12.75">
      <c r="A21" s="53" t="s">
        <v>2</v>
      </c>
      <c r="B21" s="87">
        <f t="shared" si="0"/>
        <v>444.192</v>
      </c>
      <c r="C21" s="87">
        <f t="shared" si="0"/>
        <v>99.15</v>
      </c>
      <c r="D21" s="87">
        <f t="shared" si="0"/>
        <v>364.872</v>
      </c>
      <c r="E21" s="91" t="s">
        <v>2</v>
      </c>
      <c r="F21" s="89">
        <f>+C21*30</f>
        <v>2974.5</v>
      </c>
      <c r="G21" s="89">
        <f>+D21*30</f>
        <v>10946.16</v>
      </c>
      <c r="H21" s="89">
        <f t="shared" si="1"/>
        <v>13920.66</v>
      </c>
      <c r="I21" s="90">
        <f>+B21*30</f>
        <v>13325.76</v>
      </c>
      <c r="J21" s="94">
        <f t="shared" si="2"/>
        <v>594.8999999999996</v>
      </c>
    </row>
    <row r="22" spans="1:10" ht="12.75">
      <c r="A22" s="53" t="s">
        <v>3</v>
      </c>
      <c r="B22" s="87">
        <f t="shared" si="0"/>
        <v>2320.11</v>
      </c>
      <c r="C22" s="87">
        <f t="shared" si="0"/>
        <v>1352.4060000000002</v>
      </c>
      <c r="D22" s="87">
        <f t="shared" si="0"/>
        <v>652.407</v>
      </c>
      <c r="E22" s="91" t="s">
        <v>3</v>
      </c>
      <c r="F22" s="89">
        <f>+C22*31</f>
        <v>41924.586</v>
      </c>
      <c r="G22" s="89">
        <f>+D22*31</f>
        <v>20224.617000000002</v>
      </c>
      <c r="H22" s="89">
        <f t="shared" si="1"/>
        <v>62149.20300000001</v>
      </c>
      <c r="I22" s="90">
        <f>+B22*31</f>
        <v>71923.41</v>
      </c>
      <c r="J22" s="94">
        <f t="shared" si="2"/>
        <v>-9774.206999999995</v>
      </c>
    </row>
    <row r="23" spans="1:10" ht="12.75">
      <c r="A23" s="53" t="s">
        <v>4</v>
      </c>
      <c r="B23" s="87">
        <f t="shared" si="0"/>
        <v>1447.5900000000001</v>
      </c>
      <c r="C23" s="87">
        <f t="shared" si="0"/>
        <v>666.288</v>
      </c>
      <c r="D23" s="87">
        <f t="shared" si="0"/>
        <v>103.116</v>
      </c>
      <c r="E23" s="91" t="s">
        <v>4</v>
      </c>
      <c r="F23" s="89">
        <f>+C23*30</f>
        <v>19988.64</v>
      </c>
      <c r="G23" s="89">
        <f>+D23*30</f>
        <v>3093.48</v>
      </c>
      <c r="H23" s="89">
        <f t="shared" si="1"/>
        <v>23082.12</v>
      </c>
      <c r="I23" s="90">
        <f>+B23*30</f>
        <v>43427.700000000004</v>
      </c>
      <c r="J23" s="94">
        <f t="shared" si="2"/>
        <v>-20345.580000000005</v>
      </c>
    </row>
    <row r="24" spans="1:10" ht="12.75">
      <c r="A24" s="53" t="s">
        <v>5</v>
      </c>
      <c r="B24" s="87">
        <f t="shared" si="0"/>
        <v>470.96250000000003</v>
      </c>
      <c r="C24" s="87">
        <f t="shared" si="0"/>
        <v>782.2935</v>
      </c>
      <c r="D24" s="87">
        <f t="shared" si="0"/>
        <v>71.78460000000001</v>
      </c>
      <c r="E24" s="91" t="s">
        <v>5</v>
      </c>
      <c r="F24" s="89">
        <f>+C24*31</f>
        <v>24251.0985</v>
      </c>
      <c r="G24" s="89">
        <f>+D24*31</f>
        <v>2225.3226000000004</v>
      </c>
      <c r="H24" s="89">
        <f t="shared" si="1"/>
        <v>26476.4211</v>
      </c>
      <c r="I24" s="90">
        <f>+B24*31</f>
        <v>14599.837500000001</v>
      </c>
      <c r="J24" s="94">
        <f t="shared" si="2"/>
        <v>11876.583599999998</v>
      </c>
    </row>
    <row r="25" spans="1:10" ht="12.75">
      <c r="A25" s="53" t="s">
        <v>6</v>
      </c>
      <c r="B25" s="87">
        <f t="shared" si="0"/>
        <v>966.7125000000001</v>
      </c>
      <c r="C25" s="87">
        <f t="shared" si="0"/>
        <v>1112.463</v>
      </c>
      <c r="D25" s="87">
        <f t="shared" si="0"/>
        <v>121.5579</v>
      </c>
      <c r="E25" s="91" t="s">
        <v>6</v>
      </c>
      <c r="F25" s="89">
        <f>+C25*31</f>
        <v>34486.352999999996</v>
      </c>
      <c r="G25" s="89">
        <f>+D25*31</f>
        <v>3768.2949000000003</v>
      </c>
      <c r="H25" s="89">
        <f t="shared" si="1"/>
        <v>38254.647899999996</v>
      </c>
      <c r="I25" s="90">
        <f>+B25*31</f>
        <v>29968.0875</v>
      </c>
      <c r="J25" s="94">
        <f t="shared" si="2"/>
        <v>8286.560399999995</v>
      </c>
    </row>
    <row r="26" spans="1:10" ht="12.75">
      <c r="A26" s="53" t="s">
        <v>7</v>
      </c>
      <c r="B26" s="87">
        <f t="shared" si="0"/>
        <v>475.92</v>
      </c>
      <c r="C26" s="87">
        <f t="shared" si="0"/>
        <v>405.5235</v>
      </c>
      <c r="D26" s="87">
        <f t="shared" si="0"/>
        <v>8.82435</v>
      </c>
      <c r="E26" s="91" t="s">
        <v>7</v>
      </c>
      <c r="F26" s="89">
        <f>+C26*30</f>
        <v>12165.705</v>
      </c>
      <c r="G26" s="89">
        <f>+D26*30</f>
        <v>264.7305</v>
      </c>
      <c r="H26" s="89">
        <f t="shared" si="1"/>
        <v>12430.4355</v>
      </c>
      <c r="I26" s="90">
        <f>+B26*30</f>
        <v>14277.6</v>
      </c>
      <c r="J26" s="94">
        <f t="shared" si="2"/>
        <v>-1847.1645000000008</v>
      </c>
    </row>
    <row r="27" spans="1:10" ht="12.75">
      <c r="A27" s="53" t="s">
        <v>8</v>
      </c>
      <c r="B27" s="87">
        <f t="shared" si="0"/>
        <v>178.47</v>
      </c>
      <c r="C27" s="87">
        <f t="shared" si="0"/>
        <v>67.422</v>
      </c>
      <c r="D27" s="87">
        <f t="shared" si="0"/>
        <v>15.864</v>
      </c>
      <c r="E27" s="91" t="s">
        <v>8</v>
      </c>
      <c r="F27" s="89">
        <f>+C27*31</f>
        <v>2090.082</v>
      </c>
      <c r="G27" s="89">
        <f>+D27*31</f>
        <v>491.78400000000005</v>
      </c>
      <c r="H27" s="89">
        <f t="shared" si="1"/>
        <v>2581.866</v>
      </c>
      <c r="I27" s="90">
        <f>+B27*31</f>
        <v>5532.57</v>
      </c>
      <c r="J27" s="94">
        <f t="shared" si="2"/>
        <v>-2950.7039999999997</v>
      </c>
    </row>
    <row r="28" spans="1:10" ht="12.75">
      <c r="A28" s="53" t="s">
        <v>9</v>
      </c>
      <c r="B28" s="87">
        <f t="shared" si="0"/>
        <v>59.49</v>
      </c>
      <c r="C28" s="87">
        <f t="shared" si="0"/>
        <v>63.456</v>
      </c>
      <c r="D28" s="87">
        <f t="shared" si="0"/>
        <v>30.339900000000004</v>
      </c>
      <c r="E28" s="91" t="s">
        <v>9</v>
      </c>
      <c r="F28" s="89">
        <f>+C28*30</f>
        <v>1903.68</v>
      </c>
      <c r="G28" s="89">
        <f>+D28*30</f>
        <v>910.1970000000001</v>
      </c>
      <c r="H28" s="89">
        <f t="shared" si="1"/>
        <v>2813.8770000000004</v>
      </c>
      <c r="I28" s="90">
        <f>+B28*30</f>
        <v>1784.7</v>
      </c>
      <c r="J28" s="94">
        <f t="shared" si="2"/>
        <v>1029.1770000000004</v>
      </c>
    </row>
    <row r="29" spans="1:10" ht="12.75">
      <c r="A29" s="53" t="s">
        <v>10</v>
      </c>
      <c r="B29" s="87">
        <f t="shared" si="0"/>
        <v>19.830000000000002</v>
      </c>
      <c r="C29" s="87">
        <f t="shared" si="0"/>
        <v>120.96300000000001</v>
      </c>
      <c r="D29" s="87">
        <f t="shared" si="0"/>
        <v>23.597700000000003</v>
      </c>
      <c r="E29" s="91" t="s">
        <v>10</v>
      </c>
      <c r="F29" s="89">
        <f>+C29*31</f>
        <v>3749.853</v>
      </c>
      <c r="G29" s="89">
        <f>+D29*31</f>
        <v>731.5287000000001</v>
      </c>
      <c r="H29" s="89">
        <f t="shared" si="1"/>
        <v>4481.3817</v>
      </c>
      <c r="I29" s="90">
        <f>+B29*31</f>
        <v>614.73</v>
      </c>
      <c r="J29" s="94">
        <f t="shared" si="2"/>
        <v>3866.6517</v>
      </c>
    </row>
    <row r="30" spans="1:10" ht="12.75">
      <c r="A30" s="53"/>
      <c r="B30" s="88"/>
      <c r="C30" s="88"/>
      <c r="D30" s="88"/>
      <c r="E30" s="93" t="s">
        <v>289</v>
      </c>
      <c r="F30" s="90">
        <f>SUM(F18:F29)</f>
        <v>150822.0225</v>
      </c>
      <c r="G30" s="90">
        <f>SUM(G18:G29)</f>
        <v>48641.007000000005</v>
      </c>
      <c r="H30" s="90">
        <f>SUM(H18:H29)</f>
        <v>199463.0295</v>
      </c>
      <c r="I30" s="90">
        <f>SUM(I18:I29)</f>
        <v>208714.71600000004</v>
      </c>
      <c r="J30" s="94">
        <f t="shared" si="2"/>
        <v>-9251.68650000004</v>
      </c>
    </row>
    <row r="31" spans="1:9" ht="12.75">
      <c r="A31" s="53"/>
      <c r="B31" s="4"/>
      <c r="C31" s="4"/>
      <c r="D31" s="4"/>
      <c r="E31" s="92" t="s">
        <v>293</v>
      </c>
      <c r="F31" s="95">
        <f>F30/H30</f>
        <v>0.7561402375070213</v>
      </c>
      <c r="G31" s="95">
        <f>G30/H30</f>
        <v>0.2438597624929787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44">
      <selection activeCell="C68" sqref="C68"/>
    </sheetView>
  </sheetViews>
  <sheetFormatPr defaultColWidth="9.140625" defaultRowHeight="12.75"/>
  <sheetData>
    <row r="1" spans="1:24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 t="s">
        <v>270</v>
      </c>
      <c r="M1" s="79"/>
      <c r="N1" s="79"/>
      <c r="O1" s="79"/>
      <c r="P1" s="79"/>
      <c r="Q1" s="79"/>
      <c r="R1" s="79"/>
      <c r="S1" s="79"/>
      <c r="T1" s="79"/>
      <c r="U1" s="79"/>
      <c r="V1" s="78"/>
      <c r="W1" s="78"/>
      <c r="X1" s="78"/>
    </row>
    <row r="2" spans="1:24" ht="12.75">
      <c r="A2" s="79" t="s">
        <v>269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>
        <v>1988</v>
      </c>
      <c r="N2" s="79">
        <v>1991</v>
      </c>
      <c r="O2" s="79">
        <v>1992</v>
      </c>
      <c r="P2" s="79">
        <v>1993</v>
      </c>
      <c r="Q2" s="79">
        <v>1994</v>
      </c>
      <c r="R2" s="79">
        <v>1995</v>
      </c>
      <c r="S2" s="79">
        <v>1996</v>
      </c>
      <c r="T2" s="79">
        <v>1997</v>
      </c>
      <c r="U2" s="79">
        <v>1998</v>
      </c>
      <c r="V2" s="78"/>
      <c r="W2" s="79" t="s">
        <v>268</v>
      </c>
      <c r="X2" s="79" t="s">
        <v>267</v>
      </c>
    </row>
    <row r="3" spans="1:24" ht="12.75">
      <c r="A3" s="79"/>
      <c r="B3" s="79">
        <v>1988</v>
      </c>
      <c r="C3" s="79">
        <v>1991</v>
      </c>
      <c r="D3" s="79">
        <v>1992</v>
      </c>
      <c r="E3" s="79">
        <v>1993</v>
      </c>
      <c r="F3" s="79">
        <v>1994</v>
      </c>
      <c r="G3" s="79">
        <v>1995</v>
      </c>
      <c r="H3" s="79">
        <v>1996</v>
      </c>
      <c r="I3" s="79">
        <v>1997</v>
      </c>
      <c r="J3" s="79">
        <v>1998</v>
      </c>
      <c r="K3" s="79"/>
      <c r="L3" s="79" t="s">
        <v>250</v>
      </c>
      <c r="M3" s="81">
        <f aca="true" t="shared" si="0" ref="M3:U3">LN(B5)</f>
        <v>2.011086222015564</v>
      </c>
      <c r="N3" s="81">
        <f t="shared" si="0"/>
        <v>3.054944133185837</v>
      </c>
      <c r="O3" s="81">
        <f t="shared" si="0"/>
        <v>2.944965156500338</v>
      </c>
      <c r="P3" s="81">
        <f t="shared" si="0"/>
        <v>2.186051276738094</v>
      </c>
      <c r="Q3" s="81">
        <f t="shared" si="0"/>
        <v>3.0170044088295307</v>
      </c>
      <c r="R3" s="81">
        <f t="shared" si="0"/>
        <v>1.6272778305624314</v>
      </c>
      <c r="S3" s="81">
        <f t="shared" si="0"/>
        <v>1.3609765531356006</v>
      </c>
      <c r="T3" s="81">
        <f t="shared" si="0"/>
        <v>0.8329091229351039</v>
      </c>
      <c r="U3" s="81">
        <f t="shared" si="0"/>
        <v>1.3887912413184778</v>
      </c>
      <c r="V3" s="78"/>
      <c r="W3" s="79" t="s">
        <v>266</v>
      </c>
      <c r="X3" s="79" t="s">
        <v>265</v>
      </c>
    </row>
    <row r="4" spans="1:24" ht="12.75">
      <c r="A4" s="79" t="s">
        <v>143</v>
      </c>
      <c r="B4" s="81">
        <f>1162/7</f>
        <v>166</v>
      </c>
      <c r="C4" s="79">
        <v>184.16</v>
      </c>
      <c r="D4" s="79">
        <v>162.26</v>
      </c>
      <c r="E4" s="79">
        <v>167.91</v>
      </c>
      <c r="F4" s="79">
        <v>87.03</v>
      </c>
      <c r="G4" s="79">
        <v>40.91</v>
      </c>
      <c r="H4" s="79">
        <v>34</v>
      </c>
      <c r="I4" s="79">
        <v>13</v>
      </c>
      <c r="J4" s="79">
        <v>12.3</v>
      </c>
      <c r="K4" s="79"/>
      <c r="L4" s="79"/>
      <c r="M4" s="81">
        <f aca="true" t="shared" si="1" ref="M4:U4">20+(14.42*M3)</f>
        <v>48.99986332146443</v>
      </c>
      <c r="N4" s="81">
        <f t="shared" si="1"/>
        <v>64.05229440053976</v>
      </c>
      <c r="O4" s="81">
        <f t="shared" si="1"/>
        <v>62.46639755673487</v>
      </c>
      <c r="P4" s="81">
        <f t="shared" si="1"/>
        <v>51.52285941056331</v>
      </c>
      <c r="Q4" s="81">
        <f t="shared" si="1"/>
        <v>63.50520357532183</v>
      </c>
      <c r="R4" s="81">
        <f t="shared" si="1"/>
        <v>43.46534631671026</v>
      </c>
      <c r="S4" s="81">
        <f t="shared" si="1"/>
        <v>39.62528189621536</v>
      </c>
      <c r="T4" s="81">
        <f t="shared" si="1"/>
        <v>32.0105495527242</v>
      </c>
      <c r="U4" s="81">
        <f t="shared" si="1"/>
        <v>40.02636969981245</v>
      </c>
      <c r="V4" s="78"/>
      <c r="W4" s="79" t="s">
        <v>263</v>
      </c>
      <c r="X4" s="79" t="s">
        <v>262</v>
      </c>
    </row>
    <row r="5" spans="1:24" ht="12.75">
      <c r="A5" s="79" t="s">
        <v>257</v>
      </c>
      <c r="B5" s="81">
        <f>52.3/7</f>
        <v>7.471428571428572</v>
      </c>
      <c r="C5" s="79">
        <v>21.22</v>
      </c>
      <c r="D5" s="79">
        <v>19.01</v>
      </c>
      <c r="E5" s="79">
        <v>8.9</v>
      </c>
      <c r="F5" s="79">
        <v>20.43</v>
      </c>
      <c r="G5" s="79">
        <v>5.09</v>
      </c>
      <c r="H5" s="79">
        <v>3.9</v>
      </c>
      <c r="I5" s="79">
        <v>2.3</v>
      </c>
      <c r="J5" s="79">
        <v>4.01</v>
      </c>
      <c r="K5" s="79"/>
      <c r="L5" s="79"/>
      <c r="M5" s="81"/>
      <c r="N5" s="81"/>
      <c r="O5" s="81"/>
      <c r="P5" s="81"/>
      <c r="Q5" s="81"/>
      <c r="R5" s="81"/>
      <c r="S5" s="79"/>
      <c r="T5" s="79"/>
      <c r="U5" s="79"/>
      <c r="V5" s="78"/>
      <c r="W5" s="79" t="s">
        <v>261</v>
      </c>
      <c r="X5" s="79" t="s">
        <v>260</v>
      </c>
    </row>
    <row r="6" spans="1:24" ht="12.75">
      <c r="A6" s="79" t="s">
        <v>23</v>
      </c>
      <c r="B6" s="79">
        <f>6.5/4</f>
        <v>1.625</v>
      </c>
      <c r="C6" s="79">
        <v>2.17</v>
      </c>
      <c r="D6" s="79">
        <v>2.1</v>
      </c>
      <c r="E6" s="79">
        <v>2.84</v>
      </c>
      <c r="F6" s="79">
        <v>1.79</v>
      </c>
      <c r="G6" s="79">
        <v>2.14</v>
      </c>
      <c r="H6" s="79">
        <v>4.86</v>
      </c>
      <c r="I6" s="79">
        <v>3.1</v>
      </c>
      <c r="J6" s="79">
        <v>2.63</v>
      </c>
      <c r="K6" s="79"/>
      <c r="L6" s="79" t="s">
        <v>249</v>
      </c>
      <c r="M6" s="81">
        <f aca="true" t="shared" si="2" ref="M6:U6">LN(B4)</f>
        <v>5.111987788356544</v>
      </c>
      <c r="N6" s="81">
        <f t="shared" si="2"/>
        <v>5.215804944973573</v>
      </c>
      <c r="O6" s="81">
        <f t="shared" si="2"/>
        <v>5.089199986966919</v>
      </c>
      <c r="P6" s="81">
        <f t="shared" si="2"/>
        <v>5.1234281215713775</v>
      </c>
      <c r="Q6" s="81">
        <f t="shared" si="2"/>
        <v>4.466252886801422</v>
      </c>
      <c r="R6" s="81">
        <f t="shared" si="2"/>
        <v>3.711374531941307</v>
      </c>
      <c r="S6" s="81">
        <f t="shared" si="2"/>
        <v>3.5263605246161616</v>
      </c>
      <c r="T6" s="81">
        <f t="shared" si="2"/>
        <v>2.5649493574615367</v>
      </c>
      <c r="U6" s="81">
        <f t="shared" si="2"/>
        <v>2.509599262378372</v>
      </c>
      <c r="W6" s="79" t="s">
        <v>259</v>
      </c>
      <c r="X6" s="79" t="s">
        <v>258</v>
      </c>
    </row>
    <row r="7" spans="1:24" ht="12.75">
      <c r="A7" s="78"/>
      <c r="B7" s="78"/>
      <c r="C7" s="78"/>
      <c r="D7" s="78"/>
      <c r="E7" s="78"/>
      <c r="F7" s="78"/>
      <c r="G7" s="78"/>
      <c r="H7" s="78"/>
      <c r="I7" s="78"/>
      <c r="J7" s="79"/>
      <c r="K7" s="79"/>
      <c r="L7" s="79"/>
      <c r="M7" s="81">
        <f aca="true" t="shared" si="3" ref="M7:U7">(20.02*M6)</f>
        <v>102.341995522898</v>
      </c>
      <c r="N7" s="81">
        <f t="shared" si="3"/>
        <v>104.42041499837092</v>
      </c>
      <c r="O7" s="81">
        <f t="shared" si="3"/>
        <v>101.88578373907771</v>
      </c>
      <c r="P7" s="81">
        <f t="shared" si="3"/>
        <v>102.57103099385897</v>
      </c>
      <c r="Q7" s="81">
        <f t="shared" si="3"/>
        <v>89.41438279376447</v>
      </c>
      <c r="R7" s="81">
        <f t="shared" si="3"/>
        <v>74.30171812946497</v>
      </c>
      <c r="S7" s="81">
        <f t="shared" si="3"/>
        <v>70.59773770281555</v>
      </c>
      <c r="T7" s="81">
        <f t="shared" si="3"/>
        <v>51.350286136379964</v>
      </c>
      <c r="U7" s="81">
        <f t="shared" si="3"/>
        <v>50.24217723281501</v>
      </c>
      <c r="W7" s="79" t="s">
        <v>256</v>
      </c>
      <c r="X7" s="79" t="s">
        <v>255</v>
      </c>
    </row>
    <row r="8" spans="1:24" ht="12.75">
      <c r="A8" s="79" t="s">
        <v>264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1"/>
      <c r="O8" s="81"/>
      <c r="P8" s="81"/>
      <c r="Q8" s="81"/>
      <c r="R8" s="81"/>
      <c r="S8" s="79"/>
      <c r="T8" s="78"/>
      <c r="U8" s="78"/>
      <c r="X8" s="78"/>
    </row>
    <row r="9" spans="1:24" ht="12.75">
      <c r="A9" s="79"/>
      <c r="B9" s="79"/>
      <c r="C9" s="79">
        <v>1991</v>
      </c>
      <c r="D9" s="79">
        <v>1992</v>
      </c>
      <c r="E9" s="79">
        <v>1993</v>
      </c>
      <c r="F9" s="79">
        <v>1994</v>
      </c>
      <c r="G9" s="79">
        <v>1995</v>
      </c>
      <c r="H9" s="79">
        <v>1996</v>
      </c>
      <c r="I9" s="79">
        <v>1997</v>
      </c>
      <c r="J9" s="79">
        <v>1998</v>
      </c>
      <c r="K9" s="79"/>
      <c r="L9" s="79" t="s">
        <v>248</v>
      </c>
      <c r="M9" s="81">
        <f aca="true" t="shared" si="4" ref="M9:U9">LN(1/B6-0.08)</f>
        <v>-0.6247698831152083</v>
      </c>
      <c r="N9" s="81">
        <f t="shared" si="4"/>
        <v>-0.9654035287290765</v>
      </c>
      <c r="O9" s="81">
        <f t="shared" si="4"/>
        <v>-0.9258601828903059</v>
      </c>
      <c r="P9" s="81">
        <f t="shared" si="4"/>
        <v>-1.3015390482569433</v>
      </c>
      <c r="Q9" s="81">
        <f t="shared" si="4"/>
        <v>-0.7367663797012618</v>
      </c>
      <c r="R9" s="81">
        <f t="shared" si="4"/>
        <v>-0.9485822365106786</v>
      </c>
      <c r="S9" s="81">
        <f t="shared" si="4"/>
        <v>-2.0733694790422286</v>
      </c>
      <c r="T9" s="81">
        <f t="shared" si="4"/>
        <v>-1.4164210665233978</v>
      </c>
      <c r="U9" s="81">
        <f t="shared" si="4"/>
        <v>-1.2032126370525384</v>
      </c>
      <c r="X9" s="78"/>
    </row>
    <row r="10" spans="1:24" ht="12.75">
      <c r="A10" s="79" t="s">
        <v>143</v>
      </c>
      <c r="B10" s="79"/>
      <c r="C10" s="79">
        <v>191.83</v>
      </c>
      <c r="D10" s="79">
        <v>181.66</v>
      </c>
      <c r="E10" s="79">
        <v>206.9</v>
      </c>
      <c r="F10" s="79">
        <v>92.27</v>
      </c>
      <c r="G10" s="79">
        <v>58.4</v>
      </c>
      <c r="H10" s="84">
        <v>37.64705882352942</v>
      </c>
      <c r="I10" s="84">
        <v>14.392857</v>
      </c>
      <c r="J10" s="78">
        <v>15.6</v>
      </c>
      <c r="K10" s="79"/>
      <c r="L10" s="79"/>
      <c r="M10" s="81">
        <f aca="true" t="shared" si="5" ref="M10:U10">75.3+(19.46*M9)</f>
        <v>63.14197807457804</v>
      </c>
      <c r="N10" s="81">
        <f t="shared" si="5"/>
        <v>56.51324733093217</v>
      </c>
      <c r="O10" s="81">
        <f t="shared" si="5"/>
        <v>57.282760840954644</v>
      </c>
      <c r="P10" s="81">
        <f t="shared" si="5"/>
        <v>49.972050120919874</v>
      </c>
      <c r="Q10" s="81">
        <f t="shared" si="5"/>
        <v>60.96252625101344</v>
      </c>
      <c r="R10" s="81">
        <f t="shared" si="5"/>
        <v>56.840589677502194</v>
      </c>
      <c r="S10" s="81">
        <f t="shared" si="5"/>
        <v>34.952229937838226</v>
      </c>
      <c r="T10" s="81">
        <f t="shared" si="5"/>
        <v>47.73644604545467</v>
      </c>
      <c r="U10" s="81">
        <f t="shared" si="5"/>
        <v>51.885482082957594</v>
      </c>
      <c r="X10" s="78"/>
    </row>
    <row r="11" spans="1:24" ht="12.75">
      <c r="A11" s="79" t="s">
        <v>257</v>
      </c>
      <c r="B11" s="79"/>
      <c r="C11" s="79">
        <v>3.99</v>
      </c>
      <c r="D11" s="79">
        <v>11.78</v>
      </c>
      <c r="E11" s="79">
        <v>14.4</v>
      </c>
      <c r="F11" s="79">
        <v>26.4</v>
      </c>
      <c r="G11" s="79">
        <v>10.96</v>
      </c>
      <c r="H11" s="79">
        <v>3.31</v>
      </c>
      <c r="I11" s="79">
        <v>2.322</v>
      </c>
      <c r="J11" s="79">
        <v>3.8</v>
      </c>
      <c r="K11" s="79"/>
      <c r="L11" s="79"/>
      <c r="M11" s="79"/>
      <c r="N11" s="79"/>
      <c r="O11" s="79"/>
      <c r="P11" s="79"/>
      <c r="Q11" s="79"/>
      <c r="R11" s="79"/>
      <c r="S11" s="79"/>
      <c r="T11" s="78"/>
      <c r="U11" s="78"/>
      <c r="X11" s="78"/>
    </row>
    <row r="12" spans="1:24" ht="12.75">
      <c r="A12" s="79" t="s">
        <v>23</v>
      </c>
      <c r="B12" s="79"/>
      <c r="C12" s="79">
        <v>2.03</v>
      </c>
      <c r="D12" s="79">
        <v>2.12</v>
      </c>
      <c r="E12" s="79">
        <v>2.23</v>
      </c>
      <c r="F12" s="79">
        <v>1.7</v>
      </c>
      <c r="G12" s="79">
        <v>1.24</v>
      </c>
      <c r="H12" s="79">
        <v>6</v>
      </c>
      <c r="I12" s="79">
        <v>3.3</v>
      </c>
      <c r="J12" s="79">
        <v>2.6</v>
      </c>
      <c r="K12" s="79"/>
      <c r="L12" s="79" t="s">
        <v>247</v>
      </c>
      <c r="M12" s="82">
        <f aca="true" t="shared" si="6" ref="M12:U12">(M10+M7+M4)/3</f>
        <v>71.4946123063135</v>
      </c>
      <c r="N12" s="82">
        <f t="shared" si="6"/>
        <v>74.99531890994761</v>
      </c>
      <c r="O12" s="82">
        <f t="shared" si="6"/>
        <v>73.87831404558908</v>
      </c>
      <c r="P12" s="82">
        <f t="shared" si="6"/>
        <v>68.02198017511405</v>
      </c>
      <c r="Q12" s="82">
        <f t="shared" si="6"/>
        <v>71.29403754003324</v>
      </c>
      <c r="R12" s="82">
        <f t="shared" si="6"/>
        <v>58.202551374559135</v>
      </c>
      <c r="S12" s="82">
        <f t="shared" si="6"/>
        <v>48.391749845623046</v>
      </c>
      <c r="T12" s="82">
        <f t="shared" si="6"/>
        <v>43.69909391151961</v>
      </c>
      <c r="U12" s="82">
        <f t="shared" si="6"/>
        <v>47.38467633852835</v>
      </c>
      <c r="V12" s="78"/>
      <c r="W12" s="78"/>
      <c r="X12" s="78"/>
    </row>
    <row r="13" spans="1:24" ht="12.75">
      <c r="A13" s="78"/>
      <c r="B13" s="78"/>
      <c r="C13" s="78"/>
      <c r="D13" s="78"/>
      <c r="E13" s="78"/>
      <c r="F13" s="78"/>
      <c r="G13" s="78"/>
      <c r="H13" s="78"/>
      <c r="I13" s="78"/>
      <c r="J13" s="79"/>
      <c r="K13" s="79"/>
      <c r="L13" s="79"/>
      <c r="M13" s="79"/>
      <c r="N13" s="79" t="s">
        <v>254</v>
      </c>
      <c r="O13" s="79" t="s">
        <v>254</v>
      </c>
      <c r="P13" s="79" t="s">
        <v>254</v>
      </c>
      <c r="Q13" s="79" t="s">
        <v>254</v>
      </c>
      <c r="R13" s="79" t="s">
        <v>253</v>
      </c>
      <c r="S13" s="79" t="s">
        <v>244</v>
      </c>
      <c r="T13" s="79" t="s">
        <v>71</v>
      </c>
      <c r="U13" s="79" t="s">
        <v>244</v>
      </c>
      <c r="V13" s="78"/>
      <c r="W13" s="78"/>
      <c r="X13" s="78"/>
    </row>
    <row r="14" spans="1:24" ht="12.75">
      <c r="A14" s="78"/>
      <c r="B14" s="78"/>
      <c r="C14" s="78"/>
      <c r="D14" s="78"/>
      <c r="E14" s="78"/>
      <c r="F14" s="78"/>
      <c r="G14" s="78"/>
      <c r="H14" s="78"/>
      <c r="I14" s="78"/>
      <c r="J14" s="79"/>
      <c r="K14" s="79"/>
      <c r="L14" s="79"/>
      <c r="M14" s="79"/>
      <c r="N14" s="81"/>
      <c r="O14" s="81"/>
      <c r="P14" s="81"/>
      <c r="Q14" s="81"/>
      <c r="R14" s="81"/>
      <c r="S14" s="79"/>
      <c r="T14" s="79"/>
      <c r="U14" s="79"/>
      <c r="V14" s="78"/>
      <c r="W14" s="78"/>
      <c r="X14" s="78"/>
    </row>
    <row r="15" spans="1:24" ht="12.75">
      <c r="A15" s="78"/>
      <c r="B15" s="78"/>
      <c r="C15" s="78"/>
      <c r="D15" s="78"/>
      <c r="E15" s="78"/>
      <c r="F15" s="78"/>
      <c r="G15" s="78"/>
      <c r="H15" s="79"/>
      <c r="I15" s="79"/>
      <c r="J15" s="79"/>
      <c r="K15" s="79"/>
      <c r="L15" s="79" t="s">
        <v>252</v>
      </c>
      <c r="M15" s="79"/>
      <c r="N15" s="81"/>
      <c r="O15" s="81"/>
      <c r="P15" s="81"/>
      <c r="Q15" s="81"/>
      <c r="R15" s="81"/>
      <c r="S15" s="79"/>
      <c r="T15" s="79"/>
      <c r="U15" s="79"/>
      <c r="V15" s="78"/>
      <c r="W15" s="78"/>
      <c r="X15" s="78"/>
    </row>
    <row r="16" spans="1:24" ht="12.75">
      <c r="A16" s="79" t="s">
        <v>251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>
        <v>1988</v>
      </c>
      <c r="N16" s="83">
        <v>1991</v>
      </c>
      <c r="O16" s="83">
        <v>1992</v>
      </c>
      <c r="P16" s="83">
        <v>1993</v>
      </c>
      <c r="Q16" s="83">
        <v>1994</v>
      </c>
      <c r="R16" s="83">
        <v>1995</v>
      </c>
      <c r="S16" s="79">
        <v>1996</v>
      </c>
      <c r="T16" s="79">
        <v>1997</v>
      </c>
      <c r="U16" s="79">
        <v>1998</v>
      </c>
      <c r="V16" s="78"/>
      <c r="W16" s="78"/>
      <c r="X16" s="78"/>
    </row>
    <row r="17" spans="1:24" ht="12.75">
      <c r="A17" s="79"/>
      <c r="B17" s="79">
        <v>1988</v>
      </c>
      <c r="C17" s="79">
        <v>1991</v>
      </c>
      <c r="D17" s="79">
        <v>1992</v>
      </c>
      <c r="E17" s="79">
        <v>1993</v>
      </c>
      <c r="F17" s="79">
        <v>1994</v>
      </c>
      <c r="G17" s="79">
        <v>1995</v>
      </c>
      <c r="H17" s="79">
        <v>1996</v>
      </c>
      <c r="I17" s="79">
        <v>1997</v>
      </c>
      <c r="J17" s="79">
        <v>1998</v>
      </c>
      <c r="K17" s="79"/>
      <c r="L17" s="79" t="s">
        <v>250</v>
      </c>
      <c r="M17" s="79"/>
      <c r="N17" s="81">
        <f aca="true" t="shared" si="7" ref="N17:U17">LN(C11)</f>
        <v>1.3837912309017721</v>
      </c>
      <c r="O17" s="81">
        <f t="shared" si="7"/>
        <v>2.4664031782234406</v>
      </c>
      <c r="P17" s="81">
        <f t="shared" si="7"/>
        <v>2.667228206581955</v>
      </c>
      <c r="Q17" s="81">
        <f t="shared" si="7"/>
        <v>3.2733640101522705</v>
      </c>
      <c r="R17" s="81">
        <f t="shared" si="7"/>
        <v>2.3942522815198695</v>
      </c>
      <c r="S17" s="81">
        <f t="shared" si="7"/>
        <v>1.1969481893889715</v>
      </c>
      <c r="T17" s="81">
        <f t="shared" si="7"/>
        <v>0.8424288832756998</v>
      </c>
      <c r="U17" s="81">
        <f t="shared" si="7"/>
        <v>1.33500106673234</v>
      </c>
      <c r="V17" s="78"/>
      <c r="W17" s="78"/>
      <c r="X17" s="78"/>
    </row>
    <row r="18" spans="1:24" ht="12.75">
      <c r="A18" s="79" t="s">
        <v>243</v>
      </c>
      <c r="B18" s="81">
        <f aca="true" t="shared" si="8" ref="B18:J18">LN(B6)</f>
        <v>0.4855078157817008</v>
      </c>
      <c r="C18" s="81">
        <f t="shared" si="8"/>
        <v>0.7747271675523681</v>
      </c>
      <c r="D18" s="81">
        <f t="shared" si="8"/>
        <v>0.7419373447293773</v>
      </c>
      <c r="E18" s="81">
        <f t="shared" si="8"/>
        <v>1.0438040521731147</v>
      </c>
      <c r="F18" s="81">
        <f t="shared" si="8"/>
        <v>0.5822156198526637</v>
      </c>
      <c r="G18" s="81">
        <f t="shared" si="8"/>
        <v>0.7608058290337602</v>
      </c>
      <c r="H18" s="81">
        <f t="shared" si="8"/>
        <v>1.5810384379124025</v>
      </c>
      <c r="I18" s="81">
        <f t="shared" si="8"/>
        <v>1.1314021114911006</v>
      </c>
      <c r="J18" s="81">
        <f t="shared" si="8"/>
        <v>0.9669838461896731</v>
      </c>
      <c r="K18" s="79"/>
      <c r="L18" s="79"/>
      <c r="M18" s="79"/>
      <c r="N18" s="81">
        <f aca="true" t="shared" si="9" ref="N18:U18">20+(14.42*N17)</f>
        <v>39.95426954960355</v>
      </c>
      <c r="O18" s="81">
        <f t="shared" si="9"/>
        <v>55.565533829982016</v>
      </c>
      <c r="P18" s="81">
        <f t="shared" si="9"/>
        <v>58.46143073891179</v>
      </c>
      <c r="Q18" s="81">
        <f t="shared" si="9"/>
        <v>67.20190902639574</v>
      </c>
      <c r="R18" s="81">
        <f t="shared" si="9"/>
        <v>54.525117899516516</v>
      </c>
      <c r="S18" s="81">
        <f t="shared" si="9"/>
        <v>37.25999289098897</v>
      </c>
      <c r="T18" s="81">
        <f t="shared" si="9"/>
        <v>32.14782449683559</v>
      </c>
      <c r="U18" s="81">
        <f t="shared" si="9"/>
        <v>39.25071538228035</v>
      </c>
      <c r="V18" s="78"/>
      <c r="W18" s="78"/>
      <c r="X18" s="78"/>
    </row>
    <row r="19" spans="1:24" ht="12.75">
      <c r="A19" s="79"/>
      <c r="B19" s="81">
        <f aca="true" t="shared" si="10" ref="B19:J19">60-(14.41*B18)</f>
        <v>53.00383237458569</v>
      </c>
      <c r="C19" s="81">
        <f t="shared" si="10"/>
        <v>48.836181515570374</v>
      </c>
      <c r="D19" s="81">
        <f t="shared" si="10"/>
        <v>49.30868286244967</v>
      </c>
      <c r="E19" s="81">
        <f t="shared" si="10"/>
        <v>44.95878360818541</v>
      </c>
      <c r="F19" s="81">
        <f t="shared" si="10"/>
        <v>51.61027291792311</v>
      </c>
      <c r="G19" s="81">
        <f t="shared" si="10"/>
        <v>49.03678800362351</v>
      </c>
      <c r="H19" s="81">
        <f t="shared" si="10"/>
        <v>37.217236109682275</v>
      </c>
      <c r="I19" s="81">
        <f t="shared" si="10"/>
        <v>43.696495573413245</v>
      </c>
      <c r="J19" s="81">
        <f t="shared" si="10"/>
        <v>46.065762776406814</v>
      </c>
      <c r="K19" s="79"/>
      <c r="L19" s="79"/>
      <c r="M19" s="79"/>
      <c r="N19" s="81"/>
      <c r="O19" s="81"/>
      <c r="P19" s="81"/>
      <c r="Q19" s="81"/>
      <c r="R19" s="81"/>
      <c r="S19" s="81"/>
      <c r="T19" s="81"/>
      <c r="U19" s="81"/>
      <c r="V19" s="78"/>
      <c r="W19" s="78"/>
      <c r="X19" s="78"/>
    </row>
    <row r="20" spans="1:24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 t="s">
        <v>249</v>
      </c>
      <c r="M20" s="79"/>
      <c r="N20" s="81">
        <f aca="true" t="shared" si="11" ref="N20:U20">LN(C10)</f>
        <v>5.256609563148246</v>
      </c>
      <c r="O20" s="81">
        <f t="shared" si="11"/>
        <v>5.2021368080740675</v>
      </c>
      <c r="P20" s="81">
        <f t="shared" si="11"/>
        <v>5.332235584751498</v>
      </c>
      <c r="Q20" s="81">
        <f t="shared" si="11"/>
        <v>4.524719061590464</v>
      </c>
      <c r="R20" s="81">
        <f t="shared" si="11"/>
        <v>4.067315889834181</v>
      </c>
      <c r="S20" s="81">
        <f t="shared" si="11"/>
        <v>3.6282548322975017</v>
      </c>
      <c r="T20" s="81">
        <f t="shared" si="11"/>
        <v>2.6667320418459206</v>
      </c>
      <c r="U20" s="81">
        <f t="shared" si="11"/>
        <v>2.747270914255491</v>
      </c>
      <c r="V20" s="78"/>
      <c r="W20" s="78"/>
      <c r="X20" s="78"/>
    </row>
    <row r="21" spans="1:24" ht="12.75">
      <c r="A21" s="79" t="s">
        <v>242</v>
      </c>
      <c r="B21" s="81">
        <f aca="true" t="shared" si="12" ref="B21:J21">LN(B5)</f>
        <v>2.011086222015564</v>
      </c>
      <c r="C21" s="81">
        <f t="shared" si="12"/>
        <v>3.054944133185837</v>
      </c>
      <c r="D21" s="81">
        <f t="shared" si="12"/>
        <v>2.944965156500338</v>
      </c>
      <c r="E21" s="81">
        <f t="shared" si="12"/>
        <v>2.186051276738094</v>
      </c>
      <c r="F21" s="81">
        <f t="shared" si="12"/>
        <v>3.0170044088295307</v>
      </c>
      <c r="G21" s="81">
        <f t="shared" si="12"/>
        <v>1.6272778305624314</v>
      </c>
      <c r="H21" s="81">
        <f t="shared" si="12"/>
        <v>1.3609765531356006</v>
      </c>
      <c r="I21" s="81">
        <f t="shared" si="12"/>
        <v>0.8329091229351039</v>
      </c>
      <c r="J21" s="81">
        <f t="shared" si="12"/>
        <v>1.3887912413184778</v>
      </c>
      <c r="K21" s="79"/>
      <c r="L21" s="79"/>
      <c r="M21" s="79"/>
      <c r="N21" s="81">
        <f aca="true" t="shared" si="13" ref="N21:U21">(20.02*N20)</f>
        <v>105.23732345422789</v>
      </c>
      <c r="O21" s="81">
        <f t="shared" si="13"/>
        <v>104.14677889764283</v>
      </c>
      <c r="P21" s="81">
        <f t="shared" si="13"/>
        <v>106.75135640672498</v>
      </c>
      <c r="Q21" s="81">
        <f t="shared" si="13"/>
        <v>90.58487561304109</v>
      </c>
      <c r="R21" s="81">
        <f t="shared" si="13"/>
        <v>81.42766411448031</v>
      </c>
      <c r="S21" s="81">
        <f t="shared" si="13"/>
        <v>72.63766174259598</v>
      </c>
      <c r="T21" s="81">
        <f t="shared" si="13"/>
        <v>53.387975477755326</v>
      </c>
      <c r="U21" s="81">
        <f t="shared" si="13"/>
        <v>55.00036370339493</v>
      </c>
      <c r="V21" s="78"/>
      <c r="W21" s="78"/>
      <c r="X21" s="78"/>
    </row>
    <row r="22" spans="1:24" ht="12.75">
      <c r="A22" s="79"/>
      <c r="B22" s="81">
        <f aca="true" t="shared" si="14" ref="B22:J22">(9.81*B21)+30.6</f>
        <v>50.32875583797268</v>
      </c>
      <c r="C22" s="81">
        <f t="shared" si="14"/>
        <v>60.56900194655306</v>
      </c>
      <c r="D22" s="81">
        <f t="shared" si="14"/>
        <v>59.49010818526831</v>
      </c>
      <c r="E22" s="81">
        <f t="shared" si="14"/>
        <v>52.04516302480071</v>
      </c>
      <c r="F22" s="81">
        <f t="shared" si="14"/>
        <v>60.196813250617694</v>
      </c>
      <c r="G22" s="81">
        <f t="shared" si="14"/>
        <v>46.563595517817454</v>
      </c>
      <c r="H22" s="81">
        <f t="shared" si="14"/>
        <v>43.95117998626024</v>
      </c>
      <c r="I22" s="81">
        <f t="shared" si="14"/>
        <v>38.770838495993374</v>
      </c>
      <c r="J22" s="81">
        <f t="shared" si="14"/>
        <v>44.22404207733427</v>
      </c>
      <c r="K22" s="79"/>
      <c r="L22" s="79"/>
      <c r="M22" s="79"/>
      <c r="N22" s="81"/>
      <c r="O22" s="81"/>
      <c r="P22" s="81"/>
      <c r="Q22" s="81"/>
      <c r="R22" s="81"/>
      <c r="S22" s="81"/>
      <c r="T22" s="81"/>
      <c r="U22" s="78"/>
      <c r="V22" s="78"/>
      <c r="W22" s="78"/>
      <c r="X22" s="78"/>
    </row>
    <row r="23" spans="1:24" ht="12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 t="s">
        <v>248</v>
      </c>
      <c r="M23" s="79"/>
      <c r="N23" s="81">
        <f aca="true" t="shared" si="15" ref="N23:U23">LN(1/C12-0.08)</f>
        <v>-0.8852504124795058</v>
      </c>
      <c r="O23" s="81">
        <f t="shared" si="15"/>
        <v>-0.9372638552544341</v>
      </c>
      <c r="P23" s="81">
        <f t="shared" si="15"/>
        <v>-0.998503205839816</v>
      </c>
      <c r="Q23" s="81">
        <f t="shared" si="15"/>
        <v>-0.6768107612402517</v>
      </c>
      <c r="R23" s="81">
        <f t="shared" si="15"/>
        <v>-0.31958340121365647</v>
      </c>
      <c r="S23" s="81">
        <f t="shared" si="15"/>
        <v>-2.4456859366347192</v>
      </c>
      <c r="T23" s="81">
        <f t="shared" si="15"/>
        <v>-1.5004476287256954</v>
      </c>
      <c r="U23" s="81">
        <f t="shared" si="15"/>
        <v>-1.1887053321951477</v>
      </c>
      <c r="V23" s="78"/>
      <c r="W23" s="78"/>
      <c r="X23" s="78"/>
    </row>
    <row r="24" spans="1:24" ht="12.75">
      <c r="A24" s="79" t="s">
        <v>241</v>
      </c>
      <c r="B24" s="81">
        <f aca="true" t="shared" si="16" ref="B24:J24">LN(B4)</f>
        <v>5.111987788356544</v>
      </c>
      <c r="C24" s="81">
        <f t="shared" si="16"/>
        <v>5.215804944973573</v>
      </c>
      <c r="D24" s="81">
        <f t="shared" si="16"/>
        <v>5.089199986966919</v>
      </c>
      <c r="E24" s="81">
        <f t="shared" si="16"/>
        <v>5.1234281215713775</v>
      </c>
      <c r="F24" s="81">
        <f t="shared" si="16"/>
        <v>4.466252886801422</v>
      </c>
      <c r="G24" s="81">
        <f t="shared" si="16"/>
        <v>3.711374531941307</v>
      </c>
      <c r="H24" s="81">
        <f t="shared" si="16"/>
        <v>3.5263605246161616</v>
      </c>
      <c r="I24" s="81">
        <f t="shared" si="16"/>
        <v>2.5649493574615367</v>
      </c>
      <c r="J24" s="81">
        <f t="shared" si="16"/>
        <v>2.509599262378372</v>
      </c>
      <c r="K24" s="79"/>
      <c r="L24" s="79"/>
      <c r="M24" s="79"/>
      <c r="N24" s="81">
        <f aca="true" t="shared" si="17" ref="N24:U24">75.3+(19.46*N23)</f>
        <v>58.073026973148814</v>
      </c>
      <c r="O24" s="81">
        <f t="shared" si="17"/>
        <v>57.06084537674871</v>
      </c>
      <c r="P24" s="81">
        <f t="shared" si="17"/>
        <v>55.869127614357176</v>
      </c>
      <c r="Q24" s="81">
        <f t="shared" si="17"/>
        <v>62.1292625862647</v>
      </c>
      <c r="R24" s="81">
        <f t="shared" si="17"/>
        <v>69.08090701238224</v>
      </c>
      <c r="S24" s="81">
        <f t="shared" si="17"/>
        <v>27.706951673088362</v>
      </c>
      <c r="T24" s="81">
        <f t="shared" si="17"/>
        <v>46.10128914499796</v>
      </c>
      <c r="U24" s="81">
        <f t="shared" si="17"/>
        <v>52.16779423548242</v>
      </c>
      <c r="V24" s="78"/>
      <c r="W24" s="78"/>
      <c r="X24" s="78"/>
    </row>
    <row r="25" spans="1:24" ht="12.75">
      <c r="A25" s="79"/>
      <c r="B25" s="81">
        <f aca="true" t="shared" si="18" ref="B25:J25">(14.42*B24)+4.15</f>
        <v>77.86486390810137</v>
      </c>
      <c r="C25" s="81">
        <f t="shared" si="18"/>
        <v>79.36190730651892</v>
      </c>
      <c r="D25" s="81">
        <f t="shared" si="18"/>
        <v>77.53626381206297</v>
      </c>
      <c r="E25" s="81">
        <f t="shared" si="18"/>
        <v>78.02983351305927</v>
      </c>
      <c r="F25" s="81">
        <f t="shared" si="18"/>
        <v>68.55336662767651</v>
      </c>
      <c r="G25" s="81">
        <f t="shared" si="18"/>
        <v>57.66802075059365</v>
      </c>
      <c r="H25" s="81">
        <f t="shared" si="18"/>
        <v>55.000118764965045</v>
      </c>
      <c r="I25" s="81">
        <f t="shared" si="18"/>
        <v>41.136569734595355</v>
      </c>
      <c r="J25" s="81">
        <f t="shared" si="18"/>
        <v>40.338421363496124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8"/>
      <c r="V25" s="78"/>
      <c r="W25" s="78"/>
      <c r="X25" s="78"/>
    </row>
    <row r="26" spans="1:24" ht="12.7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9"/>
      <c r="L26" s="79" t="s">
        <v>247</v>
      </c>
      <c r="M26" s="79"/>
      <c r="N26" s="82">
        <f aca="true" t="shared" si="19" ref="N26:U26">(N24+N21+N18)/3</f>
        <v>67.75487332566009</v>
      </c>
      <c r="O26" s="82">
        <f t="shared" si="19"/>
        <v>72.25771936812453</v>
      </c>
      <c r="P26" s="82">
        <f t="shared" si="19"/>
        <v>73.69397158666465</v>
      </c>
      <c r="Q26" s="82">
        <f t="shared" si="19"/>
        <v>73.30534907523385</v>
      </c>
      <c r="R26" s="82">
        <f t="shared" si="19"/>
        <v>68.34456300879302</v>
      </c>
      <c r="S26" s="82">
        <f t="shared" si="19"/>
        <v>45.86820210222444</v>
      </c>
      <c r="T26" s="82">
        <f t="shared" si="19"/>
        <v>43.87902970652963</v>
      </c>
      <c r="U26" s="82">
        <f t="shared" si="19"/>
        <v>48.80629110705257</v>
      </c>
      <c r="V26" s="78"/>
      <c r="W26" s="78"/>
      <c r="X26" s="78"/>
    </row>
    <row r="27" spans="1:24" ht="12.75">
      <c r="A27" s="79" t="s">
        <v>246</v>
      </c>
      <c r="B27" s="79"/>
      <c r="C27" s="79"/>
      <c r="D27" s="79"/>
      <c r="E27" s="79"/>
      <c r="F27" s="79"/>
      <c r="G27" s="79"/>
      <c r="H27" s="79"/>
      <c r="I27" s="79"/>
      <c r="J27" s="78"/>
      <c r="K27" s="79"/>
      <c r="L27" s="79"/>
      <c r="M27" s="79"/>
      <c r="N27" s="79" t="s">
        <v>245</v>
      </c>
      <c r="O27" s="79" t="s">
        <v>245</v>
      </c>
      <c r="P27" s="79" t="s">
        <v>245</v>
      </c>
      <c r="Q27" s="79" t="s">
        <v>245</v>
      </c>
      <c r="R27" s="79" t="s">
        <v>245</v>
      </c>
      <c r="S27" s="78" t="s">
        <v>244</v>
      </c>
      <c r="T27" s="78" t="s">
        <v>71</v>
      </c>
      <c r="U27" s="78" t="s">
        <v>244</v>
      </c>
      <c r="V27" s="78"/>
      <c r="W27" s="78"/>
      <c r="X27" s="78"/>
    </row>
    <row r="28" spans="1:24" ht="12.75">
      <c r="A28" s="79"/>
      <c r="B28" s="79"/>
      <c r="C28" s="79">
        <v>1991</v>
      </c>
      <c r="D28" s="79">
        <v>1992</v>
      </c>
      <c r="E28" s="79">
        <v>1993</v>
      </c>
      <c r="F28" s="79">
        <v>1994</v>
      </c>
      <c r="G28" s="79">
        <v>1995</v>
      </c>
      <c r="H28" s="79">
        <v>1996</v>
      </c>
      <c r="I28" s="79">
        <v>1997</v>
      </c>
      <c r="J28" s="78">
        <v>1998</v>
      </c>
      <c r="K28" s="79"/>
      <c r="L28" s="79"/>
      <c r="M28" s="79"/>
      <c r="N28" s="79"/>
      <c r="O28" s="79"/>
      <c r="P28" s="79"/>
      <c r="Q28" s="79"/>
      <c r="R28" s="79"/>
      <c r="S28" s="78"/>
      <c r="T28" s="78"/>
      <c r="U28" s="78"/>
      <c r="V28" s="78"/>
      <c r="W28" s="78"/>
      <c r="X28" s="78"/>
    </row>
    <row r="29" spans="1:24" ht="12.75">
      <c r="A29" s="79" t="s">
        <v>35</v>
      </c>
      <c r="B29" s="79"/>
      <c r="C29" s="81">
        <f aca="true" t="shared" si="20" ref="C29:J29">LN(C12)</f>
        <v>0.7080357930536959</v>
      </c>
      <c r="D29" s="81">
        <f t="shared" si="20"/>
        <v>0.7514160886839212</v>
      </c>
      <c r="E29" s="81">
        <f t="shared" si="20"/>
        <v>0.8020015854720274</v>
      </c>
      <c r="F29" s="81">
        <f t="shared" si="20"/>
        <v>0.5306282510621704</v>
      </c>
      <c r="G29" s="81">
        <f t="shared" si="20"/>
        <v>0.2151113796169455</v>
      </c>
      <c r="H29" s="81">
        <f t="shared" si="20"/>
        <v>1.791759469228055</v>
      </c>
      <c r="I29" s="81">
        <f t="shared" si="20"/>
        <v>1.1939224684724346</v>
      </c>
      <c r="J29" s="81">
        <f t="shared" si="20"/>
        <v>0.9555114450274363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ht="12.75">
      <c r="A30" s="79"/>
      <c r="B30" s="79"/>
      <c r="C30" s="81">
        <f aca="true" t="shared" si="21" ref="C30:J30">60-(14.41*C29)</f>
        <v>49.79720422209624</v>
      </c>
      <c r="D30" s="81">
        <f t="shared" si="21"/>
        <v>49.172094162064695</v>
      </c>
      <c r="E30" s="81">
        <f t="shared" si="21"/>
        <v>48.44315715334808</v>
      </c>
      <c r="F30" s="81">
        <f t="shared" si="21"/>
        <v>52.35364690219413</v>
      </c>
      <c r="G30" s="81">
        <f t="shared" si="21"/>
        <v>56.90024501971982</v>
      </c>
      <c r="H30" s="81">
        <f t="shared" si="21"/>
        <v>34.18074604842373</v>
      </c>
      <c r="I30" s="81">
        <f t="shared" si="21"/>
        <v>42.795577229312215</v>
      </c>
      <c r="J30" s="81">
        <f t="shared" si="21"/>
        <v>46.231080077154644</v>
      </c>
      <c r="K30" s="79"/>
      <c r="L30" s="79"/>
      <c r="M30" s="79"/>
      <c r="N30" s="79"/>
      <c r="O30" s="79"/>
      <c r="P30" s="79"/>
      <c r="Q30" s="79"/>
      <c r="R30" s="79"/>
      <c r="S30" s="78"/>
      <c r="T30" s="78"/>
      <c r="U30" s="78"/>
      <c r="V30" s="78"/>
      <c r="W30" s="78"/>
      <c r="X30" s="78"/>
    </row>
    <row r="31" spans="1:24" ht="12.75">
      <c r="A31" s="79"/>
      <c r="B31" s="79"/>
      <c r="C31" s="81"/>
      <c r="D31" s="81"/>
      <c r="E31" s="81"/>
      <c r="F31" s="81"/>
      <c r="G31" s="81"/>
      <c r="H31" s="79"/>
      <c r="I31" s="79"/>
      <c r="J31" s="78"/>
      <c r="K31" s="79"/>
      <c r="L31" s="79"/>
      <c r="M31" s="79"/>
      <c r="N31" s="79"/>
      <c r="O31" s="79"/>
      <c r="P31" s="79"/>
      <c r="Q31" s="79"/>
      <c r="R31" s="79"/>
      <c r="S31" s="78"/>
      <c r="T31" s="78"/>
      <c r="U31" s="78"/>
      <c r="V31" s="78"/>
      <c r="W31" s="78"/>
      <c r="X31" s="78"/>
    </row>
    <row r="32" spans="1:24" ht="12.75">
      <c r="A32" s="79" t="s">
        <v>24</v>
      </c>
      <c r="B32" s="79"/>
      <c r="C32" s="81">
        <f aca="true" t="shared" si="22" ref="C32:J32">LN(C11)</f>
        <v>1.3837912309017721</v>
      </c>
      <c r="D32" s="81">
        <f t="shared" si="22"/>
        <v>2.4664031782234406</v>
      </c>
      <c r="E32" s="81">
        <f t="shared" si="22"/>
        <v>2.667228206581955</v>
      </c>
      <c r="F32" s="81">
        <f t="shared" si="22"/>
        <v>3.2733640101522705</v>
      </c>
      <c r="G32" s="81">
        <f t="shared" si="22"/>
        <v>2.3942522815198695</v>
      </c>
      <c r="H32" s="81">
        <f t="shared" si="22"/>
        <v>1.1969481893889715</v>
      </c>
      <c r="I32" s="81">
        <f t="shared" si="22"/>
        <v>0.8424288832756998</v>
      </c>
      <c r="J32" s="81">
        <f t="shared" si="22"/>
        <v>1.33500106673234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ht="12.75">
      <c r="A33" s="79"/>
      <c r="B33" s="79"/>
      <c r="C33" s="81">
        <f aca="true" t="shared" si="23" ref="C33:J33">(9.81*C32)+30.6</f>
        <v>44.17499197514638</v>
      </c>
      <c r="D33" s="81">
        <f t="shared" si="23"/>
        <v>54.795415178371954</v>
      </c>
      <c r="E33" s="81">
        <f t="shared" si="23"/>
        <v>56.76550870656898</v>
      </c>
      <c r="F33" s="81">
        <f t="shared" si="23"/>
        <v>62.711700939593776</v>
      </c>
      <c r="G33" s="81">
        <f t="shared" si="23"/>
        <v>54.087614881709925</v>
      </c>
      <c r="H33" s="81">
        <f t="shared" si="23"/>
        <v>42.34206173790581</v>
      </c>
      <c r="I33" s="81">
        <f t="shared" si="23"/>
        <v>38.86422734493462</v>
      </c>
      <c r="J33" s="81">
        <f t="shared" si="23"/>
        <v>43.69636046464426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24" ht="12.75">
      <c r="A34" s="79"/>
      <c r="B34" s="79"/>
      <c r="C34" s="81"/>
      <c r="D34" s="81"/>
      <c r="E34" s="81"/>
      <c r="F34" s="81"/>
      <c r="G34" s="81"/>
      <c r="H34" s="79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4" ht="12.75">
      <c r="A35" s="79" t="s">
        <v>17</v>
      </c>
      <c r="B35" s="79"/>
      <c r="C35" s="81">
        <f aca="true" t="shared" si="24" ref="C35:J35">LN(C10)</f>
        <v>5.256609563148246</v>
      </c>
      <c r="D35" s="81">
        <f t="shared" si="24"/>
        <v>5.2021368080740675</v>
      </c>
      <c r="E35" s="81">
        <f t="shared" si="24"/>
        <v>5.332235584751498</v>
      </c>
      <c r="F35" s="81">
        <f t="shared" si="24"/>
        <v>4.524719061590464</v>
      </c>
      <c r="G35" s="81">
        <f t="shared" si="24"/>
        <v>4.067315889834181</v>
      </c>
      <c r="H35" s="81">
        <f t="shared" si="24"/>
        <v>3.6282548322975017</v>
      </c>
      <c r="I35" s="81">
        <f t="shared" si="24"/>
        <v>2.6667320418459206</v>
      </c>
      <c r="J35" s="81">
        <f t="shared" si="24"/>
        <v>2.747270914255491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ht="12.75">
      <c r="A36" s="79"/>
      <c r="B36" s="79"/>
      <c r="C36" s="81">
        <f aca="true" t="shared" si="25" ref="C36:J36">(14.42*C35)+4.15</f>
        <v>79.95030990059772</v>
      </c>
      <c r="D36" s="81">
        <f t="shared" si="25"/>
        <v>79.16481277242806</v>
      </c>
      <c r="E36" s="81">
        <f t="shared" si="25"/>
        <v>81.04083713211661</v>
      </c>
      <c r="F36" s="81">
        <f t="shared" si="25"/>
        <v>69.3964488681345</v>
      </c>
      <c r="G36" s="81">
        <f t="shared" si="25"/>
        <v>62.800695131408894</v>
      </c>
      <c r="H36" s="81">
        <f t="shared" si="25"/>
        <v>56.46943468172997</v>
      </c>
      <c r="I36" s="81">
        <f t="shared" si="25"/>
        <v>42.604276043418174</v>
      </c>
      <c r="J36" s="81">
        <f t="shared" si="25"/>
        <v>43.765646583564184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12.75">
      <c r="A42" s="78"/>
      <c r="B42" s="78"/>
      <c r="C42" s="78"/>
      <c r="D42" s="78"/>
      <c r="E42" s="78"/>
      <c r="F42" s="78"/>
      <c r="G42" s="85" t="s">
        <v>268</v>
      </c>
      <c r="H42" s="85" t="s">
        <v>276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  <row r="43" spans="1:24" ht="12.75">
      <c r="A43" s="78"/>
      <c r="B43" s="78"/>
      <c r="C43" s="78"/>
      <c r="D43" s="78"/>
      <c r="E43" s="78"/>
      <c r="F43" s="78"/>
      <c r="G43" s="85" t="s">
        <v>266</v>
      </c>
      <c r="H43" s="85" t="s">
        <v>275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ht="12.75">
      <c r="A44" s="78"/>
      <c r="B44" s="78"/>
      <c r="C44" s="78"/>
      <c r="D44" s="78"/>
      <c r="E44" s="78"/>
      <c r="F44" s="78"/>
      <c r="G44" s="85" t="s">
        <v>263</v>
      </c>
      <c r="H44" s="85" t="s">
        <v>274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4" ht="12.75">
      <c r="A45" s="78"/>
      <c r="B45" s="78"/>
      <c r="C45" s="78"/>
      <c r="D45" s="78"/>
      <c r="E45" s="78"/>
      <c r="F45" s="78"/>
      <c r="G45" s="85" t="s">
        <v>261</v>
      </c>
      <c r="H45" s="85" t="s">
        <v>273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ht="12.75">
      <c r="A46" s="80" t="s">
        <v>240</v>
      </c>
      <c r="B46" s="79"/>
      <c r="C46" s="79" t="s">
        <v>239</v>
      </c>
      <c r="D46" s="79"/>
      <c r="E46" s="79"/>
      <c r="F46" s="79"/>
      <c r="G46" s="85" t="s">
        <v>259</v>
      </c>
      <c r="H46" s="85" t="s">
        <v>272</v>
      </c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12.75">
      <c r="A47" s="80" t="s">
        <v>238</v>
      </c>
      <c r="B47" s="79"/>
      <c r="C47" s="79" t="s">
        <v>237</v>
      </c>
      <c r="D47" s="79"/>
      <c r="E47" s="79"/>
      <c r="F47" s="79"/>
      <c r="G47" s="85" t="s">
        <v>256</v>
      </c>
      <c r="H47" s="85" t="s">
        <v>271</v>
      </c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</row>
    <row r="48" spans="1:24" ht="12.75">
      <c r="A48" s="80" t="s">
        <v>236</v>
      </c>
      <c r="B48" s="79"/>
      <c r="C48" s="79" t="s">
        <v>235</v>
      </c>
      <c r="D48" s="79"/>
      <c r="E48" s="79"/>
      <c r="F48" s="79"/>
      <c r="G48" s="79"/>
      <c r="H48" s="79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6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53" customWidth="1"/>
    <col min="2" max="2" width="10.57421875" style="53" customWidth="1"/>
    <col min="3" max="3" width="10.7109375" style="53" customWidth="1"/>
    <col min="4" max="16384" width="9.140625" style="53" customWidth="1"/>
  </cols>
  <sheetData>
    <row r="1" spans="1:2" ht="12.75">
      <c r="A1" s="53">
        <v>1998</v>
      </c>
      <c r="B1" s="53" t="s">
        <v>22</v>
      </c>
    </row>
    <row r="2" spans="2:4" ht="12.75">
      <c r="B2" s="53" t="s">
        <v>23</v>
      </c>
      <c r="C2" s="53" t="s">
        <v>24</v>
      </c>
      <c r="D2" s="53" t="s">
        <v>23</v>
      </c>
    </row>
    <row r="3" spans="1:5" ht="12.75">
      <c r="A3" s="55">
        <v>35809</v>
      </c>
      <c r="B3" s="86">
        <v>3</v>
      </c>
      <c r="C3" s="53">
        <v>0.8</v>
      </c>
      <c r="D3" s="53">
        <v>3</v>
      </c>
      <c r="E3" s="53" t="s">
        <v>277</v>
      </c>
    </row>
    <row r="4" spans="1:5" ht="12.75">
      <c r="A4" s="55">
        <v>35837</v>
      </c>
      <c r="B4" s="86">
        <v>4</v>
      </c>
      <c r="C4" s="53">
        <v>1.2</v>
      </c>
      <c r="D4" s="53">
        <v>4</v>
      </c>
      <c r="E4" s="53" t="s">
        <v>0</v>
      </c>
    </row>
    <row r="5" spans="1:5" ht="12.75">
      <c r="A5" s="55">
        <v>35877</v>
      </c>
      <c r="B5" s="86">
        <v>3.5</v>
      </c>
      <c r="C5" s="53">
        <v>2.1</v>
      </c>
      <c r="D5" s="53">
        <v>3.5</v>
      </c>
      <c r="E5" s="53" t="s">
        <v>1</v>
      </c>
    </row>
    <row r="6" spans="1:5" ht="12.75">
      <c r="A6" s="55">
        <v>35900</v>
      </c>
      <c r="B6" s="86">
        <v>2.5</v>
      </c>
      <c r="C6" s="53">
        <v>7.9</v>
      </c>
      <c r="D6" s="53">
        <v>2.5</v>
      </c>
      <c r="E6" s="53" t="s">
        <v>2</v>
      </c>
    </row>
    <row r="7" spans="1:5" ht="12.75">
      <c r="A7" s="55">
        <v>35929</v>
      </c>
      <c r="B7" s="86">
        <v>2</v>
      </c>
      <c r="C7" s="53">
        <v>3.7</v>
      </c>
      <c r="D7" s="53">
        <v>2</v>
      </c>
      <c r="E7" s="53" t="s">
        <v>3</v>
      </c>
    </row>
    <row r="8" spans="1:5" ht="12.75">
      <c r="A8" s="55">
        <v>35956</v>
      </c>
      <c r="B8" s="86">
        <v>2</v>
      </c>
      <c r="C8" s="53">
        <v>5.1</v>
      </c>
      <c r="D8" s="53">
        <v>2</v>
      </c>
      <c r="E8" s="53" t="s">
        <v>4</v>
      </c>
    </row>
    <row r="9" spans="1:5" ht="12.75">
      <c r="A9" s="55">
        <v>35985</v>
      </c>
      <c r="B9" s="86">
        <v>3</v>
      </c>
      <c r="C9" s="53">
        <v>2.3</v>
      </c>
      <c r="D9" s="53">
        <v>3</v>
      </c>
      <c r="E9" s="53" t="s">
        <v>5</v>
      </c>
    </row>
    <row r="10" spans="1:5" ht="12.75">
      <c r="A10" s="55">
        <v>35998</v>
      </c>
      <c r="B10" s="86">
        <v>3</v>
      </c>
      <c r="C10" s="53">
        <v>2.9</v>
      </c>
      <c r="D10" s="53">
        <v>3</v>
      </c>
      <c r="E10" s="53" t="s">
        <v>6</v>
      </c>
    </row>
    <row r="11" spans="1:5" ht="12.75">
      <c r="A11" s="55">
        <v>36012</v>
      </c>
      <c r="B11" s="86">
        <v>3</v>
      </c>
      <c r="C11" s="53">
        <v>4.3</v>
      </c>
      <c r="D11" s="53">
        <v>2.25</v>
      </c>
      <c r="E11" s="53" t="s">
        <v>7</v>
      </c>
    </row>
    <row r="12" spans="1:5" ht="12.75">
      <c r="A12" s="55">
        <v>36026</v>
      </c>
      <c r="B12" s="86">
        <v>3</v>
      </c>
      <c r="C12" s="53">
        <v>5</v>
      </c>
      <c r="D12" s="53">
        <v>1</v>
      </c>
      <c r="E12" s="53" t="s">
        <v>8</v>
      </c>
    </row>
    <row r="13" spans="1:5" ht="12.75">
      <c r="A13" s="55">
        <v>36041</v>
      </c>
      <c r="B13" s="86">
        <v>2.5</v>
      </c>
      <c r="C13" s="53">
        <v>11</v>
      </c>
      <c r="D13" s="53">
        <v>2</v>
      </c>
      <c r="E13" s="53" t="s">
        <v>9</v>
      </c>
    </row>
    <row r="14" spans="1:5" ht="12.75">
      <c r="A14" s="55">
        <v>36054</v>
      </c>
      <c r="B14" s="86">
        <v>2</v>
      </c>
      <c r="C14" s="53">
        <v>5.9</v>
      </c>
      <c r="D14" s="53">
        <v>3</v>
      </c>
      <c r="E14" s="53" t="s">
        <v>10</v>
      </c>
    </row>
    <row r="15" spans="1:2" ht="12.75">
      <c r="A15" s="55">
        <v>36082</v>
      </c>
      <c r="B15" s="86">
        <v>1</v>
      </c>
    </row>
    <row r="16" spans="1:4" ht="12.75">
      <c r="A16" s="55">
        <v>36110</v>
      </c>
      <c r="B16" s="86">
        <v>2</v>
      </c>
      <c r="D16" s="53">
        <f>AVERAGE(C7:C11)</f>
        <v>3.66</v>
      </c>
    </row>
    <row r="17" spans="1:2" ht="12.75">
      <c r="A17" s="55">
        <v>36137</v>
      </c>
      <c r="B17" s="86">
        <v>3</v>
      </c>
    </row>
    <row r="19" spans="1:7" ht="12.75">
      <c r="A19" s="53" t="s">
        <v>289</v>
      </c>
      <c r="B19" s="52" t="s">
        <v>24</v>
      </c>
      <c r="C19" s="52" t="s">
        <v>143</v>
      </c>
      <c r="E19" s="1"/>
      <c r="F19" s="58"/>
      <c r="G19" s="1"/>
    </row>
    <row r="20" spans="1:7" ht="12.75">
      <c r="A20" s="53">
        <v>1982</v>
      </c>
      <c r="B20" s="52">
        <v>15</v>
      </c>
      <c r="C20" s="52">
        <v>23</v>
      </c>
      <c r="D20"/>
      <c r="E20" s="1"/>
      <c r="F20" s="59"/>
      <c r="G20"/>
    </row>
    <row r="21" spans="1:7" ht="12.75">
      <c r="A21" s="53">
        <v>1983</v>
      </c>
      <c r="B21" s="52">
        <v>16</v>
      </c>
      <c r="C21" s="52">
        <v>50</v>
      </c>
      <c r="D21"/>
      <c r="E21" s="1"/>
      <c r="F21" s="59"/>
      <c r="G21"/>
    </row>
    <row r="22" spans="1:7" ht="12.75">
      <c r="A22" s="53">
        <v>1984</v>
      </c>
      <c r="B22" s="52">
        <v>6.7</v>
      </c>
      <c r="C22" s="52">
        <v>35</v>
      </c>
      <c r="D22"/>
      <c r="E22" s="1"/>
      <c r="F22" s="59"/>
      <c r="G22"/>
    </row>
    <row r="23" spans="1:7" ht="12.75">
      <c r="A23" s="53">
        <v>1985</v>
      </c>
      <c r="B23" s="52">
        <v>8.9</v>
      </c>
      <c r="C23" s="52">
        <v>28</v>
      </c>
      <c r="D23"/>
      <c r="E23" s="1"/>
      <c r="F23" s="59"/>
      <c r="G23"/>
    </row>
    <row r="24" spans="1:7" ht="12.75">
      <c r="A24" s="53">
        <v>1987</v>
      </c>
      <c r="B24" s="52">
        <v>9</v>
      </c>
      <c r="C24" s="52">
        <v>80</v>
      </c>
      <c r="E24" s="1"/>
      <c r="F24" s="59"/>
      <c r="G24"/>
    </row>
    <row r="25" spans="1:7" ht="12.75">
      <c r="A25" s="53">
        <v>1988</v>
      </c>
      <c r="B25" s="52">
        <v>9.6</v>
      </c>
      <c r="C25" s="52">
        <v>20</v>
      </c>
      <c r="D25" s="60"/>
      <c r="E25" s="1"/>
      <c r="F25" s="59"/>
      <c r="G25"/>
    </row>
    <row r="26" spans="1:7" ht="12.75">
      <c r="A26" s="53">
        <v>1989</v>
      </c>
      <c r="B26" s="52">
        <v>2.3</v>
      </c>
      <c r="C26" s="52">
        <v>12</v>
      </c>
      <c r="D26" s="60"/>
      <c r="E26" s="1"/>
      <c r="F26" s="59"/>
      <c r="G26"/>
    </row>
    <row r="27" spans="1:7" ht="12.75">
      <c r="A27" s="53">
        <v>1990</v>
      </c>
      <c r="B27" s="52">
        <v>10</v>
      </c>
      <c r="C27" s="52">
        <v>27</v>
      </c>
      <c r="D27" s="60"/>
      <c r="E27" s="1"/>
      <c r="F27" s="59"/>
      <c r="G27"/>
    </row>
    <row r="28" spans="1:7" ht="12.75">
      <c r="A28" s="53">
        <v>1991</v>
      </c>
      <c r="B28" s="52">
        <v>2.7</v>
      </c>
      <c r="C28" s="52">
        <v>44</v>
      </c>
      <c r="D28" s="60"/>
      <c r="E28" s="1"/>
      <c r="F28" s="59"/>
      <c r="G28"/>
    </row>
    <row r="29" spans="1:7" ht="12.75">
      <c r="A29" s="53">
        <v>1992</v>
      </c>
      <c r="B29" s="52">
        <v>4.5</v>
      </c>
      <c r="C29" s="52">
        <v>27</v>
      </c>
      <c r="D29" s="60"/>
      <c r="E29" s="1"/>
      <c r="F29" s="59"/>
      <c r="G29"/>
    </row>
    <row r="30" spans="1:7" ht="12.75">
      <c r="A30" s="53">
        <v>1993</v>
      </c>
      <c r="B30" s="52">
        <v>4.1</v>
      </c>
      <c r="C30" s="52">
        <v>18</v>
      </c>
      <c r="D30" s="60"/>
      <c r="E30" s="1"/>
      <c r="F30" s="59"/>
      <c r="G30"/>
    </row>
    <row r="31" spans="1:7" ht="12.75">
      <c r="A31" s="53">
        <v>1994</v>
      </c>
      <c r="B31" s="52">
        <v>3.3</v>
      </c>
      <c r="C31" s="52">
        <v>13.3</v>
      </c>
      <c r="D31" s="60"/>
      <c r="E31" s="1"/>
      <c r="F31" s="59"/>
      <c r="G31"/>
    </row>
    <row r="32" spans="1:7" ht="12.75">
      <c r="A32" s="53">
        <v>1995</v>
      </c>
      <c r="B32" s="52">
        <v>1.2</v>
      </c>
      <c r="C32" s="52">
        <v>20</v>
      </c>
      <c r="E32" s="1"/>
      <c r="F32" s="59"/>
      <c r="G32"/>
    </row>
    <row r="33" spans="1:7" ht="12.75">
      <c r="A33" s="53">
        <v>1996</v>
      </c>
      <c r="B33" s="52">
        <v>3.9</v>
      </c>
      <c r="C33" s="52">
        <v>34</v>
      </c>
      <c r="E33" s="1"/>
      <c r="F33" s="59"/>
      <c r="G33"/>
    </row>
    <row r="34" spans="1:7" ht="12.75">
      <c r="A34" s="53">
        <v>1997</v>
      </c>
      <c r="B34" s="52">
        <v>2.3</v>
      </c>
      <c r="C34" s="52">
        <v>13</v>
      </c>
      <c r="E34" s="1"/>
      <c r="F34" s="59"/>
      <c r="G34"/>
    </row>
    <row r="35" spans="1:7" ht="12.75">
      <c r="A35" s="53">
        <v>1998</v>
      </c>
      <c r="B35" s="52">
        <v>4.2</v>
      </c>
      <c r="C35" s="52">
        <v>17</v>
      </c>
      <c r="E35" s="1"/>
      <c r="F35" s="59"/>
      <c r="G35"/>
    </row>
    <row r="36" spans="5:7" ht="12.75">
      <c r="E36" s="1"/>
      <c r="F36" s="59"/>
      <c r="G36"/>
    </row>
    <row r="37" spans="1:10" ht="12.75">
      <c r="A37" s="53" t="s">
        <v>394</v>
      </c>
      <c r="B37" s="52" t="s">
        <v>24</v>
      </c>
      <c r="C37" s="52" t="s">
        <v>143</v>
      </c>
      <c r="D37" s="53" t="s">
        <v>233</v>
      </c>
      <c r="E37" s="1" t="s">
        <v>234</v>
      </c>
      <c r="F37" s="59"/>
      <c r="G37" t="s">
        <v>395</v>
      </c>
      <c r="H37" s="53" t="s">
        <v>143</v>
      </c>
      <c r="I37" s="53" t="s">
        <v>396</v>
      </c>
      <c r="J37" s="53" t="s">
        <v>397</v>
      </c>
    </row>
    <row r="38" spans="1:11" ht="12.75">
      <c r="A38" s="53">
        <v>1982</v>
      </c>
      <c r="B38" s="52">
        <v>15</v>
      </c>
      <c r="C38" s="52">
        <v>23</v>
      </c>
      <c r="D38" s="53">
        <f>LOG(B38)</f>
        <v>1.1760912590556813</v>
      </c>
      <c r="E38" s="53">
        <f>LOG(C38)</f>
        <v>1.3617278360175928</v>
      </c>
      <c r="F38" s="59"/>
      <c r="G38"/>
      <c r="H38" s="53">
        <v>14.3</v>
      </c>
      <c r="I38" s="53">
        <v>3.3</v>
      </c>
      <c r="J38" s="53">
        <v>4.6</v>
      </c>
      <c r="K38" s="53" t="s">
        <v>398</v>
      </c>
    </row>
    <row r="39" spans="1:7" ht="12.75">
      <c r="A39" s="53">
        <v>1983</v>
      </c>
      <c r="B39" s="52">
        <v>16</v>
      </c>
      <c r="C39" s="52">
        <v>50</v>
      </c>
      <c r="D39" s="53">
        <f aca="true" t="shared" si="0" ref="D39:D53">LOG(B39)</f>
        <v>1.2041199826559248</v>
      </c>
      <c r="E39" s="53">
        <f aca="true" t="shared" si="1" ref="E39:E53">LOG(C39)</f>
        <v>1.6989700043360187</v>
      </c>
      <c r="F39" s="59"/>
      <c r="G39"/>
    </row>
    <row r="40" spans="1:7" ht="12.75">
      <c r="A40" s="53">
        <v>1984</v>
      </c>
      <c r="B40" s="52">
        <v>6.7</v>
      </c>
      <c r="C40" s="52">
        <v>35</v>
      </c>
      <c r="D40" s="53">
        <f t="shared" si="0"/>
        <v>0.8260748027008264</v>
      </c>
      <c r="E40" s="53">
        <f t="shared" si="1"/>
        <v>1.5440680443502757</v>
      </c>
      <c r="F40" s="59"/>
      <c r="G40"/>
    </row>
    <row r="41" spans="1:7" ht="12.75">
      <c r="A41" s="53">
        <v>1985</v>
      </c>
      <c r="B41" s="52">
        <v>8.9</v>
      </c>
      <c r="C41" s="52">
        <v>28</v>
      </c>
      <c r="D41" s="53">
        <f t="shared" si="0"/>
        <v>0.9493900066449128</v>
      </c>
      <c r="E41" s="53">
        <f t="shared" si="1"/>
        <v>1.4471580313422192</v>
      </c>
      <c r="F41" s="59"/>
      <c r="G41"/>
    </row>
    <row r="42" spans="1:7" ht="12.75">
      <c r="A42" s="53">
        <v>1987</v>
      </c>
      <c r="B42" s="52">
        <v>9</v>
      </c>
      <c r="C42" s="52">
        <v>80</v>
      </c>
      <c r="D42" s="53">
        <f t="shared" si="0"/>
        <v>0.9542425094393249</v>
      </c>
      <c r="E42" s="53">
        <f t="shared" si="1"/>
        <v>1.9030899869919435</v>
      </c>
      <c r="F42" s="59"/>
      <c r="G42"/>
    </row>
    <row r="43" spans="1:7" ht="12.75">
      <c r="A43" s="53">
        <v>1988</v>
      </c>
      <c r="B43" s="52">
        <v>9.6</v>
      </c>
      <c r="C43" s="52">
        <v>20</v>
      </c>
      <c r="D43" s="53">
        <f t="shared" si="0"/>
        <v>0.9822712330395684</v>
      </c>
      <c r="E43" s="53">
        <f t="shared" si="1"/>
        <v>1.3010299956639813</v>
      </c>
      <c r="F43" s="59"/>
      <c r="G43"/>
    </row>
    <row r="44" spans="1:7" ht="12.75">
      <c r="A44" s="53">
        <v>1989</v>
      </c>
      <c r="B44" s="52">
        <v>2.3</v>
      </c>
      <c r="C44" s="52">
        <v>12</v>
      </c>
      <c r="D44" s="53">
        <f t="shared" si="0"/>
        <v>0.36172783601759284</v>
      </c>
      <c r="E44" s="53">
        <f t="shared" si="1"/>
        <v>1.0791812460476249</v>
      </c>
      <c r="F44" s="59"/>
      <c r="G44"/>
    </row>
    <row r="45" spans="1:7" ht="12.75">
      <c r="A45" s="53">
        <v>1990</v>
      </c>
      <c r="B45" s="52">
        <v>10</v>
      </c>
      <c r="C45" s="52">
        <v>27</v>
      </c>
      <c r="D45" s="53">
        <f t="shared" si="0"/>
        <v>1</v>
      </c>
      <c r="E45" s="53">
        <f t="shared" si="1"/>
        <v>1.4313637641589874</v>
      </c>
      <c r="F45" s="59"/>
      <c r="G45"/>
    </row>
    <row r="46" spans="1:7" ht="12.75">
      <c r="A46" s="53">
        <v>1991</v>
      </c>
      <c r="B46" s="52">
        <v>2.7</v>
      </c>
      <c r="C46" s="52">
        <v>44</v>
      </c>
      <c r="D46" s="53">
        <f t="shared" si="0"/>
        <v>0.43136376415898736</v>
      </c>
      <c r="E46" s="53">
        <f t="shared" si="1"/>
        <v>1.6434526764861874</v>
      </c>
      <c r="F46" s="59"/>
      <c r="G46"/>
    </row>
    <row r="47" spans="1:7" ht="12.75">
      <c r="A47" s="53">
        <v>1992</v>
      </c>
      <c r="B47" s="52">
        <v>4.5</v>
      </c>
      <c r="C47" s="52">
        <v>27</v>
      </c>
      <c r="D47" s="53">
        <f t="shared" si="0"/>
        <v>0.6532125137753437</v>
      </c>
      <c r="E47" s="53">
        <f t="shared" si="1"/>
        <v>1.4313637641589874</v>
      </c>
      <c r="F47" s="59"/>
      <c r="G47"/>
    </row>
    <row r="48" spans="1:7" ht="12.75">
      <c r="A48" s="53">
        <v>1993</v>
      </c>
      <c r="B48" s="52">
        <v>4.1</v>
      </c>
      <c r="C48" s="52">
        <v>18</v>
      </c>
      <c r="D48" s="53">
        <f t="shared" si="0"/>
        <v>0.6127838567197355</v>
      </c>
      <c r="E48" s="53">
        <f t="shared" si="1"/>
        <v>1.255272505103306</v>
      </c>
      <c r="F48" s="59"/>
      <c r="G48"/>
    </row>
    <row r="49" spans="1:7" ht="12.75">
      <c r="A49" s="53">
        <v>1994</v>
      </c>
      <c r="B49" s="52">
        <v>3.3</v>
      </c>
      <c r="C49" s="52">
        <v>13.3</v>
      </c>
      <c r="D49" s="53">
        <f t="shared" si="0"/>
        <v>0.5185139398778874</v>
      </c>
      <c r="E49" s="53">
        <f t="shared" si="1"/>
        <v>1.1238516409670858</v>
      </c>
      <c r="F49" s="59"/>
      <c r="G49"/>
    </row>
    <row r="50" spans="1:7" ht="12.75">
      <c r="A50" s="53">
        <v>1995</v>
      </c>
      <c r="B50" s="52">
        <v>1.2</v>
      </c>
      <c r="C50" s="52">
        <v>20</v>
      </c>
      <c r="D50" s="53">
        <f t="shared" si="0"/>
        <v>0.07918124604762482</v>
      </c>
      <c r="E50" s="53">
        <f t="shared" si="1"/>
        <v>1.3010299956639813</v>
      </c>
      <c r="F50" s="59"/>
      <c r="G50"/>
    </row>
    <row r="51" spans="1:7" ht="12.75">
      <c r="A51" s="53">
        <v>1996</v>
      </c>
      <c r="B51" s="52">
        <v>3.9</v>
      </c>
      <c r="C51" s="52">
        <v>34</v>
      </c>
      <c r="D51" s="53">
        <f t="shared" si="0"/>
        <v>0.5910646070264992</v>
      </c>
      <c r="E51" s="53">
        <f t="shared" si="1"/>
        <v>1.5314789170422551</v>
      </c>
      <c r="F51" s="59"/>
      <c r="G51"/>
    </row>
    <row r="52" spans="1:7" ht="12.75">
      <c r="A52" s="53">
        <v>1997</v>
      </c>
      <c r="B52" s="52">
        <v>2.3</v>
      </c>
      <c r="C52" s="52">
        <v>13</v>
      </c>
      <c r="D52" s="53">
        <f t="shared" si="0"/>
        <v>0.36172783601759284</v>
      </c>
      <c r="E52" s="53">
        <f t="shared" si="1"/>
        <v>1.1139433523068367</v>
      </c>
      <c r="F52" s="59"/>
      <c r="G52"/>
    </row>
    <row r="53" spans="1:7" ht="12.75">
      <c r="A53" s="53">
        <v>1998</v>
      </c>
      <c r="B53" s="52">
        <v>3.3</v>
      </c>
      <c r="C53" s="52">
        <v>14.3</v>
      </c>
      <c r="D53" s="53">
        <f t="shared" si="0"/>
        <v>0.5185139398778874</v>
      </c>
      <c r="E53" s="53">
        <f t="shared" si="1"/>
        <v>1.1553360374650619</v>
      </c>
      <c r="F53" s="59"/>
      <c r="G53"/>
    </row>
    <row r="54" spans="5:7" ht="12.75">
      <c r="E54" s="1"/>
      <c r="F54" s="59"/>
      <c r="G54"/>
    </row>
    <row r="55" spans="5:7" ht="12.75">
      <c r="E55" s="1"/>
      <c r="F55" s="59"/>
      <c r="G55"/>
    </row>
    <row r="56" spans="5:7" ht="12.75">
      <c r="E56" s="1"/>
      <c r="F56" s="59"/>
      <c r="G56"/>
    </row>
    <row r="57" spans="5:7" ht="12.75">
      <c r="E57" s="1"/>
      <c r="F57" s="59"/>
      <c r="G57"/>
    </row>
    <row r="58" spans="5:7" ht="12.75">
      <c r="E58" s="1"/>
      <c r="F58" s="59"/>
      <c r="G58"/>
    </row>
    <row r="59" spans="5:7" ht="12.75">
      <c r="E59" s="1"/>
      <c r="F59" s="59"/>
      <c r="G59"/>
    </row>
    <row r="60" spans="5:7" ht="12.75">
      <c r="E60" s="1"/>
      <c r="F60" s="59"/>
      <c r="G60"/>
    </row>
    <row r="61" spans="5:7" ht="12.75">
      <c r="E61" s="1"/>
      <c r="F61" s="59"/>
      <c r="G61"/>
    </row>
    <row r="62" spans="5:7" ht="12.75">
      <c r="E62" s="1"/>
      <c r="F62" s="59"/>
      <c r="G62"/>
    </row>
    <row r="63" spans="5:7" ht="12.75">
      <c r="E63" s="1"/>
      <c r="F63" s="59"/>
      <c r="G63"/>
    </row>
    <row r="64" spans="5:7" ht="12.75">
      <c r="E64" s="1"/>
      <c r="F64" s="59"/>
      <c r="G64"/>
    </row>
    <row r="65" spans="5:7" ht="12.75">
      <c r="E65" s="1"/>
      <c r="F65" s="59"/>
      <c r="G65"/>
    </row>
    <row r="66" spans="5:7" ht="12.75">
      <c r="E66" s="1"/>
      <c r="F66" s="59"/>
      <c r="G66"/>
    </row>
    <row r="67" spans="5:7" ht="12.75">
      <c r="E67" s="1"/>
      <c r="F67" s="59"/>
      <c r="G67"/>
    </row>
    <row r="68" spans="5:7" ht="12.75">
      <c r="E68" s="1"/>
      <c r="F68" s="59"/>
      <c r="G68"/>
    </row>
    <row r="69" spans="5:7" ht="12.75">
      <c r="E69" s="1"/>
      <c r="F69" s="59"/>
      <c r="G69"/>
    </row>
    <row r="70" spans="5:7" ht="12.75">
      <c r="E70" s="1"/>
      <c r="F70" s="59"/>
      <c r="G70"/>
    </row>
    <row r="71" spans="5:7" ht="12.75">
      <c r="E71" s="1"/>
      <c r="F71" s="59"/>
      <c r="G71"/>
    </row>
    <row r="72" spans="5:7" ht="12.75">
      <c r="E72" s="1"/>
      <c r="F72" s="59"/>
      <c r="G72"/>
    </row>
    <row r="73" spans="5:7" ht="12.75">
      <c r="E73" s="1"/>
      <c r="F73" s="59"/>
      <c r="G73"/>
    </row>
    <row r="74" spans="5:7" ht="12.75">
      <c r="E74" s="1"/>
      <c r="F74" s="59"/>
      <c r="G74"/>
    </row>
    <row r="75" spans="5:7" ht="12.75">
      <c r="E75" s="1"/>
      <c r="F75" s="59"/>
      <c r="G75"/>
    </row>
    <row r="76" spans="5:7" ht="12.75">
      <c r="E76" s="1"/>
      <c r="F76" s="59"/>
      <c r="G76"/>
    </row>
    <row r="77" spans="5:7" ht="12.75">
      <c r="E77" s="1"/>
      <c r="F77" s="59"/>
      <c r="G77"/>
    </row>
    <row r="78" spans="5:7" ht="12.75">
      <c r="E78" s="1"/>
      <c r="F78" s="59"/>
      <c r="G78"/>
    </row>
    <row r="79" spans="5:7" ht="12.75">
      <c r="E79" s="1"/>
      <c r="F79" s="59"/>
      <c r="G79"/>
    </row>
    <row r="80" spans="5:7" ht="12.75">
      <c r="E80" s="1"/>
      <c r="F80" s="59"/>
      <c r="G80"/>
    </row>
    <row r="81" spans="5:7" ht="12.75">
      <c r="E81" s="1"/>
      <c r="F81" s="59"/>
      <c r="G81"/>
    </row>
    <row r="82" spans="5:7" ht="12.75">
      <c r="E82" s="1"/>
      <c r="F82" s="59"/>
      <c r="G82"/>
    </row>
    <row r="83" spans="5:7" ht="12.75">
      <c r="E83" s="1"/>
      <c r="F83" s="59"/>
      <c r="G83"/>
    </row>
    <row r="84" spans="5:7" ht="12.75">
      <c r="E84" s="1"/>
      <c r="F84" s="59"/>
      <c r="G84"/>
    </row>
    <row r="85" spans="5:7" ht="12.75">
      <c r="E85" s="1"/>
      <c r="F85" s="59"/>
      <c r="G85"/>
    </row>
    <row r="86" spans="5:7" ht="12.75">
      <c r="E86" s="1"/>
      <c r="F86" s="59"/>
      <c r="G86"/>
    </row>
    <row r="87" spans="5:7" ht="12.75">
      <c r="E87" s="1"/>
      <c r="F87" s="59"/>
      <c r="G87"/>
    </row>
    <row r="88" spans="5:7" ht="12.75">
      <c r="E88" s="1"/>
      <c r="F88" s="59"/>
      <c r="G88"/>
    </row>
    <row r="89" spans="5:7" ht="12.75">
      <c r="E89" s="1"/>
      <c r="F89" s="59"/>
      <c r="G89"/>
    </row>
    <row r="90" spans="5:7" ht="12.75">
      <c r="E90" s="1"/>
      <c r="F90" s="59"/>
      <c r="G90"/>
    </row>
    <row r="91" spans="5:7" ht="12.75">
      <c r="E91" s="1"/>
      <c r="F91" s="59"/>
      <c r="G91"/>
    </row>
    <row r="92" spans="5:7" ht="12.75">
      <c r="E92" s="1"/>
      <c r="F92" s="59"/>
      <c r="G92"/>
    </row>
    <row r="93" spans="5:7" ht="12.75">
      <c r="E93" s="1"/>
      <c r="F93" s="59"/>
      <c r="G93"/>
    </row>
    <row r="94" spans="5:7" ht="12.75">
      <c r="E94" s="1"/>
      <c r="F94" s="59"/>
      <c r="G94"/>
    </row>
    <row r="95" spans="5:7" ht="12.75">
      <c r="E95" s="1"/>
      <c r="F95" s="59"/>
      <c r="G95"/>
    </row>
    <row r="96" spans="5:7" ht="12.75">
      <c r="E96" s="1"/>
      <c r="F96" s="59"/>
      <c r="G96"/>
    </row>
    <row r="234" spans="5:7" ht="12.75">
      <c r="E234"/>
      <c r="F234" s="59"/>
      <c r="G234"/>
    </row>
    <row r="235" spans="5:7" ht="12.75">
      <c r="E235"/>
      <c r="F235" s="59"/>
      <c r="G235"/>
    </row>
    <row r="236" spans="5:7" ht="12.75">
      <c r="E236"/>
      <c r="F236" s="59"/>
      <c r="G236"/>
    </row>
    <row r="237" spans="5:7" ht="12.75">
      <c r="E237"/>
      <c r="F237" s="59"/>
      <c r="G237"/>
    </row>
    <row r="238" spans="5:7" ht="12.75">
      <c r="E238"/>
      <c r="F238" s="59"/>
      <c r="G238"/>
    </row>
    <row r="239" spans="5:7" ht="12.75">
      <c r="E239"/>
      <c r="F239" s="59"/>
      <c r="G239"/>
    </row>
    <row r="240" spans="5:7" ht="12.75">
      <c r="E240"/>
      <c r="F240" s="59"/>
      <c r="G240"/>
    </row>
    <row r="241" spans="5:7" ht="12.75">
      <c r="E241"/>
      <c r="F241" s="59"/>
      <c r="G241"/>
    </row>
    <row r="242" spans="5:7" ht="12.75">
      <c r="E242"/>
      <c r="F242" s="59"/>
      <c r="G242"/>
    </row>
    <row r="243" spans="5:7" ht="12.75">
      <c r="E243"/>
      <c r="F243" s="59"/>
      <c r="G243"/>
    </row>
    <row r="244" spans="5:7" ht="12.75">
      <c r="E244"/>
      <c r="F244" s="59"/>
      <c r="G244"/>
    </row>
    <row r="245" spans="5:7" ht="12.75">
      <c r="E245"/>
      <c r="F245" s="59"/>
      <c r="G245"/>
    </row>
    <row r="246" spans="5:7" ht="12.75">
      <c r="E246"/>
      <c r="F246" s="59"/>
      <c r="G246"/>
    </row>
    <row r="247" spans="5:7" ht="12.75">
      <c r="E247"/>
      <c r="F247" s="59"/>
      <c r="G247"/>
    </row>
    <row r="248" spans="5:7" ht="12.75">
      <c r="E248"/>
      <c r="F248" s="59"/>
      <c r="G248"/>
    </row>
    <row r="249" spans="5:7" ht="12.75">
      <c r="E249"/>
      <c r="F249" s="59"/>
      <c r="G249"/>
    </row>
    <row r="250" spans="5:7" ht="12.75">
      <c r="E250"/>
      <c r="F250" s="59"/>
      <c r="G250"/>
    </row>
    <row r="251" spans="5:7" ht="12.75">
      <c r="E251"/>
      <c r="F251" s="59"/>
      <c r="G251"/>
    </row>
    <row r="252" spans="5:7" ht="12.75">
      <c r="E252"/>
      <c r="F252" s="59"/>
      <c r="G252"/>
    </row>
    <row r="253" spans="5:7" ht="12.75">
      <c r="E253"/>
      <c r="F253" s="59"/>
      <c r="G253"/>
    </row>
    <row r="254" spans="5:7" ht="12.75">
      <c r="E254"/>
      <c r="F254" s="59"/>
      <c r="G254"/>
    </row>
    <row r="255" spans="5:7" ht="12.75">
      <c r="E255"/>
      <c r="F255" s="59"/>
      <c r="G255"/>
    </row>
    <row r="256" spans="5:7" ht="12.75">
      <c r="E256"/>
      <c r="F256" s="59"/>
      <c r="G256"/>
    </row>
    <row r="257" spans="5:7" ht="12.75">
      <c r="E257"/>
      <c r="F257" s="59"/>
      <c r="G257"/>
    </row>
    <row r="258" spans="5:7" ht="12.75">
      <c r="E258"/>
      <c r="F258" s="59"/>
      <c r="G258"/>
    </row>
    <row r="259" spans="5:7" ht="12.75">
      <c r="E259"/>
      <c r="F259" s="59"/>
      <c r="G259"/>
    </row>
    <row r="260" spans="5:7" ht="12.75">
      <c r="E260"/>
      <c r="F260" s="59"/>
      <c r="G260"/>
    </row>
    <row r="261" spans="5:7" ht="12.75">
      <c r="E261"/>
      <c r="F261" s="59"/>
      <c r="G261"/>
    </row>
    <row r="262" spans="5:7" ht="12.75">
      <c r="E262"/>
      <c r="F262" s="59"/>
      <c r="G262"/>
    </row>
    <row r="263" spans="5:7" ht="12.75">
      <c r="E263"/>
      <c r="F263" s="59"/>
      <c r="G263"/>
    </row>
    <row r="264" spans="5:7" ht="12.75">
      <c r="E264"/>
      <c r="F264" s="59"/>
      <c r="G264"/>
    </row>
    <row r="265" spans="5:7" ht="12.75">
      <c r="E265"/>
      <c r="F265" s="59"/>
      <c r="G265"/>
    </row>
    <row r="266" spans="5:7" ht="12.75">
      <c r="E266"/>
      <c r="F266" s="59"/>
      <c r="G266"/>
    </row>
    <row r="267" spans="5:7" ht="12.75">
      <c r="E267"/>
      <c r="F267" s="59"/>
      <c r="G267"/>
    </row>
    <row r="268" spans="5:7" ht="12.75">
      <c r="E268"/>
      <c r="F268" s="59"/>
      <c r="G268"/>
    </row>
    <row r="269" spans="5:7" ht="12.75">
      <c r="E269"/>
      <c r="F269" s="59"/>
      <c r="G269"/>
    </row>
    <row r="270" spans="5:7" ht="12.75">
      <c r="E270"/>
      <c r="F270" s="59"/>
      <c r="G270"/>
    </row>
    <row r="271" spans="5:7" ht="12.75">
      <c r="E271"/>
      <c r="F271" s="59"/>
      <c r="G271"/>
    </row>
    <row r="272" spans="5:7" ht="12.75">
      <c r="E272"/>
      <c r="F272" s="59"/>
      <c r="G272"/>
    </row>
    <row r="273" spans="5:7" ht="12.75">
      <c r="E273"/>
      <c r="F273" s="59"/>
      <c r="G273"/>
    </row>
    <row r="274" spans="5:7" ht="12.75">
      <c r="E274"/>
      <c r="F274" s="59"/>
      <c r="G274"/>
    </row>
    <row r="275" spans="5:7" ht="12.75">
      <c r="E275"/>
      <c r="F275" s="59"/>
      <c r="G275"/>
    </row>
    <row r="276" spans="5:7" ht="12.75">
      <c r="E276"/>
      <c r="F276" s="59"/>
      <c r="G276"/>
    </row>
    <row r="277" spans="5:7" ht="12.75">
      <c r="E277"/>
      <c r="F277" s="59"/>
      <c r="G277"/>
    </row>
    <row r="278" spans="5:7" ht="12.75">
      <c r="E278"/>
      <c r="F278" s="59"/>
      <c r="G278"/>
    </row>
    <row r="279" spans="5:7" ht="12.75">
      <c r="E279"/>
      <c r="F279" s="59"/>
      <c r="G279"/>
    </row>
    <row r="280" spans="5:7" ht="12.75">
      <c r="E280"/>
      <c r="F280" s="59"/>
      <c r="G280"/>
    </row>
    <row r="281" spans="5:7" ht="12.75">
      <c r="E281"/>
      <c r="F281" s="59"/>
      <c r="G281"/>
    </row>
    <row r="282" spans="5:7" ht="12.75">
      <c r="E282"/>
      <c r="F282" s="59"/>
      <c r="G282"/>
    </row>
    <row r="283" spans="5:7" ht="12.75">
      <c r="E283"/>
      <c r="F283" s="59"/>
      <c r="G283"/>
    </row>
    <row r="284" spans="5:7" ht="12.75">
      <c r="E284"/>
      <c r="F284" s="59"/>
      <c r="G284"/>
    </row>
    <row r="285" spans="5:7" ht="12.75">
      <c r="E285"/>
      <c r="F285" s="59"/>
      <c r="G285"/>
    </row>
    <row r="286" spans="5:7" ht="12.75">
      <c r="E286"/>
      <c r="F286" s="59"/>
      <c r="G286"/>
    </row>
    <row r="287" spans="5:7" ht="12.75">
      <c r="E287"/>
      <c r="F287" s="59"/>
      <c r="G287"/>
    </row>
    <row r="288" spans="5:7" ht="12.75">
      <c r="E288"/>
      <c r="F288" s="59"/>
      <c r="G288"/>
    </row>
    <row r="289" spans="5:7" ht="12.75">
      <c r="E289"/>
      <c r="F289" s="59"/>
      <c r="G289"/>
    </row>
    <row r="290" spans="5:7" ht="12.75">
      <c r="E290"/>
      <c r="F290" s="59"/>
      <c r="G290"/>
    </row>
    <row r="291" spans="5:7" ht="12.75">
      <c r="E291"/>
      <c r="F291" s="59"/>
      <c r="G291"/>
    </row>
    <row r="292" spans="5:7" ht="12.75">
      <c r="E292"/>
      <c r="F292" s="59"/>
      <c r="G292"/>
    </row>
    <row r="293" spans="5:7" ht="12.75">
      <c r="E293"/>
      <c r="F293" s="59"/>
      <c r="G293"/>
    </row>
    <row r="294" spans="5:7" ht="12.75">
      <c r="E294"/>
      <c r="F294" s="59"/>
      <c r="G294"/>
    </row>
    <row r="295" spans="5:7" ht="12.75">
      <c r="E295"/>
      <c r="F295" s="59"/>
      <c r="G295"/>
    </row>
    <row r="296" spans="5:7" ht="12.75">
      <c r="E296"/>
      <c r="F296" s="59"/>
      <c r="G296"/>
    </row>
    <row r="297" spans="5:7" ht="12.75">
      <c r="E297"/>
      <c r="F297" s="59"/>
      <c r="G297"/>
    </row>
    <row r="298" spans="5:7" ht="12.75">
      <c r="E298"/>
      <c r="F298" s="59"/>
      <c r="G298"/>
    </row>
    <row r="299" spans="5:7" ht="12.75">
      <c r="E299"/>
      <c r="F299" s="59"/>
      <c r="G299"/>
    </row>
    <row r="300" spans="5:7" ht="12.75">
      <c r="E300"/>
      <c r="F300" s="59"/>
      <c r="G300"/>
    </row>
    <row r="301" spans="5:7" ht="12.75">
      <c r="E301"/>
      <c r="F301" s="59"/>
      <c r="G301"/>
    </row>
    <row r="302" spans="5:7" ht="12.75">
      <c r="E302"/>
      <c r="F302" s="59"/>
      <c r="G302"/>
    </row>
    <row r="303" spans="5:7" ht="12.75">
      <c r="E303"/>
      <c r="F303" s="59"/>
      <c r="G303"/>
    </row>
    <row r="304" spans="5:7" ht="12.75">
      <c r="E304"/>
      <c r="F304" s="59"/>
      <c r="G304"/>
    </row>
    <row r="305" spans="5:7" ht="12.75">
      <c r="E305"/>
      <c r="F305" s="59"/>
      <c r="G305"/>
    </row>
    <row r="306" spans="5:7" ht="12.75">
      <c r="E306"/>
      <c r="F306" s="59"/>
      <c r="G306"/>
    </row>
    <row r="307" spans="5:7" ht="12.75">
      <c r="E307"/>
      <c r="F307" s="59"/>
      <c r="G307"/>
    </row>
    <row r="308" spans="5:7" ht="12.75">
      <c r="E308"/>
      <c r="F308" s="59"/>
      <c r="G308"/>
    </row>
    <row r="309" spans="5:7" ht="12.75">
      <c r="E309"/>
      <c r="F309" s="59"/>
      <c r="G309"/>
    </row>
    <row r="310" spans="5:7" ht="12.75">
      <c r="E310"/>
      <c r="F310" s="59"/>
      <c r="G310"/>
    </row>
    <row r="311" spans="5:7" ht="12.75">
      <c r="E311"/>
      <c r="F311" s="59"/>
      <c r="G311"/>
    </row>
    <row r="312" spans="5:7" ht="12.75">
      <c r="E312"/>
      <c r="F312" s="59"/>
      <c r="G312"/>
    </row>
    <row r="313" spans="5:7" ht="12.75">
      <c r="E313"/>
      <c r="F313" s="59"/>
      <c r="G313"/>
    </row>
    <row r="314" spans="5:7" ht="12.75">
      <c r="E314"/>
      <c r="F314" s="59"/>
      <c r="G314"/>
    </row>
    <row r="315" spans="5:7" ht="12.75">
      <c r="E315"/>
      <c r="F315" s="59"/>
      <c r="G315"/>
    </row>
    <row r="316" spans="5:7" ht="12.75">
      <c r="E316"/>
      <c r="F316" s="59"/>
      <c r="G316"/>
    </row>
    <row r="317" spans="5:7" ht="12.75">
      <c r="E317"/>
      <c r="F317" s="59"/>
      <c r="G317"/>
    </row>
    <row r="318" spans="5:7" ht="12.75">
      <c r="E318"/>
      <c r="F318" s="59"/>
      <c r="G318"/>
    </row>
    <row r="319" spans="5:7" ht="12.75">
      <c r="E319"/>
      <c r="F319" s="59"/>
      <c r="G319"/>
    </row>
    <row r="320" spans="5:7" ht="12.75">
      <c r="E320"/>
      <c r="F320" s="59"/>
      <c r="G320"/>
    </row>
    <row r="321" spans="5:7" ht="12.75">
      <c r="E321"/>
      <c r="F321" s="59"/>
      <c r="G321"/>
    </row>
    <row r="322" spans="5:7" ht="12.75">
      <c r="E322"/>
      <c r="F322" s="59"/>
      <c r="G322"/>
    </row>
    <row r="323" spans="5:7" ht="12.75">
      <c r="E323"/>
      <c r="F323" s="59"/>
      <c r="G323"/>
    </row>
    <row r="324" spans="5:7" ht="12.75">
      <c r="E324"/>
      <c r="F324" s="59"/>
      <c r="G324"/>
    </row>
    <row r="325" spans="5:7" ht="12.75">
      <c r="E325"/>
      <c r="F325" s="59"/>
      <c r="G325"/>
    </row>
    <row r="326" spans="5:7" ht="12.75">
      <c r="E326"/>
      <c r="F326" s="59"/>
      <c r="G326"/>
    </row>
    <row r="327" spans="5:7" ht="12.75">
      <c r="E327"/>
      <c r="F327" s="59"/>
      <c r="G327"/>
    </row>
    <row r="328" spans="5:7" ht="12.75">
      <c r="E328"/>
      <c r="F328" s="59"/>
      <c r="G328"/>
    </row>
    <row r="329" spans="5:7" ht="12.75">
      <c r="E329"/>
      <c r="F329" s="59"/>
      <c r="G329"/>
    </row>
    <row r="330" spans="5:7" ht="12.75">
      <c r="E330"/>
      <c r="F330" s="59"/>
      <c r="G330"/>
    </row>
    <row r="331" spans="5:7" ht="12.75">
      <c r="E331"/>
      <c r="F331" s="59"/>
      <c r="G331"/>
    </row>
    <row r="332" spans="5:7" ht="12.75">
      <c r="E332"/>
      <c r="F332" s="59"/>
      <c r="G332"/>
    </row>
    <row r="333" spans="5:7" ht="12.75">
      <c r="E333"/>
      <c r="F333" s="59"/>
      <c r="G333"/>
    </row>
    <row r="334" spans="5:7" ht="12.75">
      <c r="E334"/>
      <c r="F334" s="59"/>
      <c r="G334"/>
    </row>
    <row r="335" spans="5:7" ht="12.75">
      <c r="E335"/>
      <c r="F335" s="59"/>
      <c r="G335"/>
    </row>
    <row r="336" spans="5:7" ht="12.75">
      <c r="E336"/>
      <c r="F336" s="59"/>
      <c r="G336"/>
    </row>
    <row r="337" spans="5:7" ht="12.75">
      <c r="E337"/>
      <c r="F337" s="59"/>
      <c r="G337"/>
    </row>
    <row r="338" spans="5:7" ht="12.75">
      <c r="E338"/>
      <c r="F338" s="59"/>
      <c r="G338"/>
    </row>
    <row r="339" spans="5:7" ht="12.75">
      <c r="E339"/>
      <c r="F339" s="59"/>
      <c r="G339"/>
    </row>
    <row r="340" spans="5:7" ht="12.75">
      <c r="E340"/>
      <c r="F340" s="59"/>
      <c r="G340"/>
    </row>
    <row r="341" spans="5:7" ht="12.75">
      <c r="E341"/>
      <c r="F341" s="59"/>
      <c r="G341"/>
    </row>
    <row r="342" spans="5:7" ht="12.75">
      <c r="E342"/>
      <c r="F342" s="59"/>
      <c r="G342"/>
    </row>
    <row r="343" spans="5:7" ht="12.75">
      <c r="E343"/>
      <c r="F343" s="59"/>
      <c r="G343"/>
    </row>
    <row r="344" spans="5:7" ht="12.75">
      <c r="E344"/>
      <c r="F344" s="59"/>
      <c r="G344"/>
    </row>
    <row r="345" spans="5:7" ht="12.75">
      <c r="E345"/>
      <c r="F345" s="59"/>
      <c r="G345"/>
    </row>
    <row r="346" spans="5:7" ht="12.75">
      <c r="E346"/>
      <c r="F346" s="59"/>
      <c r="G346"/>
    </row>
    <row r="347" spans="5:7" ht="12.75">
      <c r="E347"/>
      <c r="F347" s="59"/>
      <c r="G347"/>
    </row>
    <row r="348" spans="5:7" ht="12.75">
      <c r="E348"/>
      <c r="F348" s="59"/>
      <c r="G348"/>
    </row>
    <row r="349" spans="5:7" ht="12.75">
      <c r="E349"/>
      <c r="F349" s="59"/>
      <c r="G349"/>
    </row>
    <row r="350" spans="5:7" ht="12.75">
      <c r="E350"/>
      <c r="F350" s="59"/>
      <c r="G350"/>
    </row>
    <row r="351" spans="5:7" ht="12.75">
      <c r="E351"/>
      <c r="F351" s="59"/>
      <c r="G351"/>
    </row>
    <row r="352" spans="5:7" ht="12.75">
      <c r="E352"/>
      <c r="F352" s="59"/>
      <c r="G352"/>
    </row>
    <row r="353" spans="5:7" ht="12.75">
      <c r="E353"/>
      <c r="F353" s="59"/>
      <c r="G353"/>
    </row>
    <row r="354" spans="5:7" ht="12.75">
      <c r="E354"/>
      <c r="F354" s="59"/>
      <c r="G354"/>
    </row>
    <row r="355" spans="5:7" ht="12.75">
      <c r="E355"/>
      <c r="F355" s="59"/>
      <c r="G355"/>
    </row>
    <row r="356" spans="5:7" ht="12.75">
      <c r="E356"/>
      <c r="F356" s="59"/>
      <c r="G356"/>
    </row>
    <row r="357" spans="5:7" ht="12.75">
      <c r="E357"/>
      <c r="F357" s="59"/>
      <c r="G357"/>
    </row>
    <row r="358" spans="5:7" ht="12.75">
      <c r="E358"/>
      <c r="F358" s="59"/>
      <c r="G358"/>
    </row>
    <row r="359" spans="5:7" ht="12.75">
      <c r="E359"/>
      <c r="F359" s="59"/>
      <c r="G359"/>
    </row>
    <row r="360" spans="5:7" ht="12.75">
      <c r="E360"/>
      <c r="F360" s="59"/>
      <c r="G360"/>
    </row>
    <row r="361" spans="5:7" ht="12.75">
      <c r="E361"/>
      <c r="F361" s="59"/>
      <c r="G361"/>
    </row>
    <row r="362" spans="5:7" ht="12.75">
      <c r="E362"/>
      <c r="F362" s="59"/>
      <c r="G362"/>
    </row>
    <row r="363" spans="5:7" ht="12.75">
      <c r="E363"/>
      <c r="F363" s="59"/>
      <c r="G363"/>
    </row>
    <row r="364" spans="5:7" ht="12.75">
      <c r="E364"/>
      <c r="F364" s="59"/>
      <c r="G364"/>
    </row>
    <row r="365" spans="5:7" ht="12.75">
      <c r="E365"/>
      <c r="F365" s="59"/>
      <c r="G365"/>
    </row>
    <row r="366" spans="5:7" ht="12.75">
      <c r="E366"/>
      <c r="F366" s="59"/>
      <c r="G366"/>
    </row>
    <row r="367" spans="5:7" ht="12.75">
      <c r="E367"/>
      <c r="F367" s="59"/>
      <c r="G367"/>
    </row>
    <row r="368" spans="5:7" ht="12.75">
      <c r="E368"/>
      <c r="F368" s="59"/>
      <c r="G368"/>
    </row>
    <row r="369" spans="5:7" ht="12.75">
      <c r="E369"/>
      <c r="F369" s="59"/>
      <c r="G369"/>
    </row>
    <row r="370" spans="5:7" ht="12.75">
      <c r="E370"/>
      <c r="F370" s="59"/>
      <c r="G370"/>
    </row>
    <row r="371" spans="5:7" ht="12.75">
      <c r="E371"/>
      <c r="F371" s="59"/>
      <c r="G371"/>
    </row>
    <row r="372" spans="5:7" ht="12.75">
      <c r="E372"/>
      <c r="F372" s="59"/>
      <c r="G372"/>
    </row>
    <row r="373" spans="5:7" ht="12.75">
      <c r="E373"/>
      <c r="F373" s="59"/>
      <c r="G373"/>
    </row>
    <row r="374" spans="5:7" ht="12.75">
      <c r="E374"/>
      <c r="F374" s="59"/>
      <c r="G374"/>
    </row>
    <row r="375" spans="5:7" ht="12.75">
      <c r="E375"/>
      <c r="F375" s="59"/>
      <c r="G375"/>
    </row>
    <row r="376" spans="5:7" ht="12.75">
      <c r="E376"/>
      <c r="F376" s="59"/>
      <c r="G376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67">
      <selection activeCell="E104" sqref="E104"/>
    </sheetView>
  </sheetViews>
  <sheetFormatPr defaultColWidth="9.140625" defaultRowHeight="12.75"/>
  <cols>
    <col min="1" max="1" width="20.57421875" style="53" bestFit="1" customWidth="1"/>
    <col min="2" max="2" width="11.57421875" style="53" bestFit="1" customWidth="1"/>
    <col min="3" max="3" width="10.57421875" style="53" bestFit="1" customWidth="1"/>
    <col min="4" max="4" width="10.421875" style="53" customWidth="1"/>
    <col min="5" max="5" width="11.57421875" style="53" bestFit="1" customWidth="1"/>
    <col min="6" max="6" width="11.00390625" style="53" bestFit="1" customWidth="1"/>
    <col min="7" max="7" width="12.57421875" style="53" bestFit="1" customWidth="1"/>
    <col min="8" max="16384" width="9.140625" style="53" customWidth="1"/>
  </cols>
  <sheetData>
    <row r="1" spans="1:7" ht="12.75">
      <c r="A1" s="121" t="s">
        <v>385</v>
      </c>
      <c r="B1" s="92"/>
      <c r="C1" s="92"/>
      <c r="D1" s="92"/>
      <c r="E1" s="92"/>
      <c r="F1" s="92"/>
      <c r="G1" s="92"/>
    </row>
    <row r="2" spans="1:7" ht="12.75">
      <c r="A2" s="117" t="s">
        <v>16</v>
      </c>
      <c r="B2" s="117" t="s">
        <v>365</v>
      </c>
      <c r="C2" s="117" t="s">
        <v>278</v>
      </c>
      <c r="D2" s="122" t="s">
        <v>371</v>
      </c>
      <c r="E2" s="122" t="s">
        <v>15</v>
      </c>
      <c r="F2" s="122" t="s">
        <v>386</v>
      </c>
      <c r="G2" s="122"/>
    </row>
    <row r="3" spans="1:7" ht="12.75">
      <c r="A3" s="123" t="s">
        <v>277</v>
      </c>
      <c r="B3" s="124">
        <f>(F115*'River-Res data'!N156)*2.723</f>
        <v>480.41210973</v>
      </c>
      <c r="C3" s="124">
        <f>(G115*'River-Res data'!N132)*2.723</f>
        <v>3223.95025554</v>
      </c>
      <c r="D3" s="124">
        <f>(H115*'River-Res data'!P72)*2.723</f>
        <v>3670.8841694699995</v>
      </c>
      <c r="E3" s="124">
        <f>(I115*'River-Res data'!N255)*2.723</f>
        <v>399.1464892800001</v>
      </c>
      <c r="F3" s="124">
        <f>(B3+C3)-E3</f>
        <v>3305.21587599</v>
      </c>
      <c r="G3" s="92"/>
    </row>
    <row r="4" spans="1:7" ht="12.75">
      <c r="A4" s="123" t="s">
        <v>0</v>
      </c>
      <c r="B4" s="124">
        <f>(F116*'River-Res data'!N157)*2.723</f>
        <v>1669.1580460799998</v>
      </c>
      <c r="C4" s="124">
        <f>(G116*'River-Res data'!N133)*2.723</f>
        <v>4504.307654783999</v>
      </c>
      <c r="D4" s="124">
        <f>(H116*'River-Res data'!P76)*2.723</f>
        <v>2310.2114985600006</v>
      </c>
      <c r="E4" s="124">
        <f>(I116*'River-Res data'!N256)*2.723</f>
        <v>1567.85950524</v>
      </c>
      <c r="F4" s="124">
        <f aca="true" t="shared" si="0" ref="F4:F14">(B4+C4)-E4</f>
        <v>4605.606195623999</v>
      </c>
      <c r="G4" s="125"/>
    </row>
    <row r="5" spans="1:7" ht="12.75">
      <c r="A5" s="123" t="s">
        <v>1</v>
      </c>
      <c r="B5" s="124">
        <f>(F117*'River-Res data'!N158)*2.723</f>
        <v>1506.5188110000001</v>
      </c>
      <c r="C5" s="124">
        <f>(G117*'River-Res data'!N134)*2.723</f>
        <v>3733.153613658</v>
      </c>
      <c r="D5" s="124">
        <f>(H117*'River-Res data'!P80)*2.723</f>
        <v>5353.16350842</v>
      </c>
      <c r="E5" s="124">
        <f>(I117*'River-Res data'!N257)*2.723</f>
        <v>1690.6488879</v>
      </c>
      <c r="F5" s="124">
        <f t="shared" si="0"/>
        <v>3549.023536758</v>
      </c>
      <c r="G5" s="125"/>
    </row>
    <row r="6" spans="1:7" ht="12.75">
      <c r="A6" s="123" t="s">
        <v>2</v>
      </c>
      <c r="B6" s="124">
        <f>(F118*'River-Res data'!N159)*2.723</f>
        <v>5345.71191</v>
      </c>
      <c r="C6" s="124">
        <f>(G118*'River-Res data'!N135)*2.723</f>
        <v>7451.598419999999</v>
      </c>
      <c r="D6" s="124">
        <f>(H118*'River-Res data'!P84)*2.723</f>
        <v>6317.659529999999</v>
      </c>
      <c r="E6" s="124">
        <f>(I118*'River-Res data'!N258)*2.723</f>
        <v>3265.7440031999995</v>
      </c>
      <c r="F6" s="124">
        <f t="shared" si="0"/>
        <v>9531.5663268</v>
      </c>
      <c r="G6" s="126"/>
    </row>
    <row r="7" spans="1:7" ht="12.75">
      <c r="A7" s="123" t="s">
        <v>3</v>
      </c>
      <c r="B7" s="124">
        <f>(F119*'River-Res data'!N160)*2.723</f>
        <v>12557.671244579999</v>
      </c>
      <c r="C7" s="124">
        <f>(G119*'River-Res data'!N136)*2.723</f>
        <v>9362.17745547</v>
      </c>
      <c r="D7" s="124">
        <f>(H119*'River-Res data'!P88)*2.723</f>
        <v>73333.9878999</v>
      </c>
      <c r="E7" s="124">
        <f>(I119*'River-Res data'!N259)*2.723</f>
        <v>19584.744543</v>
      </c>
      <c r="F7" s="124">
        <f t="shared" si="0"/>
        <v>2335.1041570499983</v>
      </c>
      <c r="G7" s="126"/>
    </row>
    <row r="8" spans="1:7" ht="12.75">
      <c r="A8" s="123" t="s">
        <v>4</v>
      </c>
      <c r="B8" s="124">
        <f>(F120*'River-Res data'!N161)*2.723</f>
        <v>2177.1626688</v>
      </c>
      <c r="C8" s="124">
        <f>(G120*'River-Res data'!N137)*2.723</f>
        <v>2358.5928912000004</v>
      </c>
      <c r="D8" s="124">
        <f>(H120*'River-Res data'!P92)*2.723</f>
        <v>27236.132196</v>
      </c>
      <c r="E8" s="124">
        <f>(I120*'River-Res data'!N260)*2.723</f>
        <v>10642.826439</v>
      </c>
      <c r="F8" s="124">
        <f t="shared" si="0"/>
        <v>-6107.070879</v>
      </c>
      <c r="G8" s="126"/>
    </row>
    <row r="9" spans="1:7" ht="12.75">
      <c r="A9" s="123" t="s">
        <v>5</v>
      </c>
      <c r="B9" s="124">
        <f>(F121*'River-Res data'!N164)*2.723</f>
        <v>6933.752827627501</v>
      </c>
      <c r="C9" s="124">
        <f>(G121*'River-Res data'!N140)*2.723</f>
        <v>1484.5905927510003</v>
      </c>
      <c r="D9" s="124">
        <f>(H121*'River-Res data'!P99)*2.723</f>
        <v>19225.411908079997</v>
      </c>
      <c r="E9" s="124">
        <f>(I121*'River-Res data'!N263)*2.723</f>
        <v>4174.312538812501</v>
      </c>
      <c r="F9" s="124">
        <f t="shared" si="0"/>
        <v>4244.030881565999</v>
      </c>
      <c r="G9" s="126"/>
    </row>
    <row r="10" spans="1:7" ht="12.75">
      <c r="A10" s="123" t="s">
        <v>6</v>
      </c>
      <c r="B10" s="124">
        <f>(F122*'River-Res data'!N167)*2.723</f>
        <v>9390.6339219</v>
      </c>
      <c r="C10" s="124">
        <f>(G122*'River-Res data'!N143)*2.723</f>
        <v>2360.045412921</v>
      </c>
      <c r="D10" s="124">
        <f>(H122*'River-Res data'!P106)*2.723</f>
        <v>59028.19686462999</v>
      </c>
      <c r="E10" s="124">
        <f>(I122*'River-Res data'!N266)*2.723</f>
        <v>3264.1240905</v>
      </c>
      <c r="F10" s="124">
        <f t="shared" si="0"/>
        <v>8486.555244321002</v>
      </c>
      <c r="G10" s="126"/>
    </row>
    <row r="11" spans="1:7" ht="12.75">
      <c r="A11" s="123" t="s">
        <v>7</v>
      </c>
      <c r="B11" s="124">
        <f>(F123*'River-Res data'!N170)*2.723</f>
        <v>1987.6328829</v>
      </c>
      <c r="C11" s="124">
        <f>(G123*'River-Res data'!N146)*2.723</f>
        <v>154.98514757249998</v>
      </c>
      <c r="D11" s="124">
        <f>(H123*'River-Res data'!P113)*2.723</f>
        <v>15795.768737699997</v>
      </c>
      <c r="E11" s="124">
        <f>(I123*'River-Res data'!N269)*2.723</f>
        <v>1360.726668</v>
      </c>
      <c r="F11" s="124">
        <f t="shared" si="0"/>
        <v>781.8913624724998</v>
      </c>
      <c r="G11" s="126"/>
    </row>
    <row r="12" spans="1:7" ht="12.75">
      <c r="A12" s="123" t="s">
        <v>8</v>
      </c>
      <c r="B12" s="124">
        <f>(F124*'River-Res data'!N171)*2.723</f>
        <v>113.82586572</v>
      </c>
      <c r="C12" s="124">
        <f>(G124*'River-Res data'!N147)*2.723</f>
        <v>602.6075244</v>
      </c>
      <c r="D12" s="124">
        <f>(H124*'River-Res data'!P117)*2.723</f>
        <v>2812.1684471999997</v>
      </c>
      <c r="E12" s="124">
        <f>(I124*'River-Res data'!N270)*2.723</f>
        <v>301.3037622</v>
      </c>
      <c r="F12" s="124">
        <f t="shared" si="0"/>
        <v>415.12962792</v>
      </c>
      <c r="G12" s="126"/>
    </row>
    <row r="13" spans="1:7" ht="12.75">
      <c r="A13" s="123" t="s">
        <v>9</v>
      </c>
      <c r="B13" s="124">
        <f>(F125*'River-Res data'!N172)*2.723</f>
        <v>155.51161919999998</v>
      </c>
      <c r="C13" s="124">
        <f>(G125*'River-Res data'!N148)*2.723</f>
        <v>2701.5284097900003</v>
      </c>
      <c r="D13" s="124">
        <f>(H125*'River-Res data'!P121)*2.723</f>
        <v>766.2187071000003</v>
      </c>
      <c r="E13" s="124">
        <f>(I125*'River-Res data'!N271)*2.723</f>
        <v>194.389524</v>
      </c>
      <c r="F13" s="124">
        <f t="shared" si="0"/>
        <v>2662.65050499</v>
      </c>
      <c r="G13" s="126"/>
    </row>
    <row r="14" spans="1:7" ht="12.75">
      <c r="A14" s="123" t="s">
        <v>10</v>
      </c>
      <c r="B14" s="124">
        <f>(F126*'River-Res data'!N173)*2.723</f>
        <v>8168.679775200001</v>
      </c>
      <c r="C14" s="124">
        <f>(G126*'River-Res data'!N149)*2.723</f>
        <v>1115.4934840560002</v>
      </c>
      <c r="D14" s="124">
        <f>(H126*'River-Res data'!P125)*2.723</f>
        <v>2440.5604738200004</v>
      </c>
      <c r="E14" s="124">
        <f>(I126*'River-Res data'!N272)*2.723</f>
        <v>33.4781958</v>
      </c>
      <c r="F14" s="124">
        <f t="shared" si="0"/>
        <v>9250.695063456002</v>
      </c>
      <c r="G14" s="126"/>
    </row>
    <row r="15" spans="1:7" ht="12.75">
      <c r="A15" s="127" t="s">
        <v>134</v>
      </c>
      <c r="B15" s="128">
        <f>SUM(B3:B14)</f>
        <v>50486.67168273749</v>
      </c>
      <c r="C15" s="128">
        <f>SUM(C3:C14)</f>
        <v>39053.03086214251</v>
      </c>
      <c r="D15" s="128">
        <f>SUM(D3:D14)</f>
        <v>218290.36394087996</v>
      </c>
      <c r="E15" s="128">
        <f>SUM(E3:E14)</f>
        <v>46479.30464693251</v>
      </c>
      <c r="F15" s="128">
        <f>SUM(F3:F14)</f>
        <v>43060.39789794751</v>
      </c>
      <c r="G15" s="128">
        <f>SUM(B15:C15)</f>
        <v>89539.70254488</v>
      </c>
    </row>
    <row r="16" spans="2:7" ht="12.75">
      <c r="B16" s="118"/>
      <c r="C16" s="118"/>
      <c r="D16" s="118"/>
      <c r="E16" s="118"/>
      <c r="F16" s="118"/>
      <c r="G16" s="118"/>
    </row>
    <row r="17" spans="2:7" ht="12.75">
      <c r="B17" s="118"/>
      <c r="C17" s="118"/>
      <c r="D17" s="118"/>
      <c r="E17" s="118"/>
      <c r="F17" s="118"/>
      <c r="G17" s="118"/>
    </row>
    <row r="18" spans="2:7" ht="12.75">
      <c r="B18" s="118"/>
      <c r="C18" s="118"/>
      <c r="D18" s="118"/>
      <c r="E18" s="118"/>
      <c r="F18" s="118"/>
      <c r="G18" s="118"/>
    </row>
    <row r="19" spans="2:7" ht="12.75">
      <c r="B19" s="118"/>
      <c r="C19" s="118"/>
      <c r="D19" s="118"/>
      <c r="E19" s="118"/>
      <c r="F19" s="118"/>
      <c r="G19" s="118"/>
    </row>
    <row r="20" spans="2:7" ht="12.75">
      <c r="B20" s="118"/>
      <c r="C20" s="118"/>
      <c r="D20" s="118"/>
      <c r="E20" s="118"/>
      <c r="F20" s="118"/>
      <c r="G20" s="118"/>
    </row>
    <row r="21" spans="2:7" ht="12.75">
      <c r="B21" s="118"/>
      <c r="C21" s="118"/>
      <c r="D21" s="118"/>
      <c r="E21" s="118"/>
      <c r="F21" s="118"/>
      <c r="G21" s="118"/>
    </row>
    <row r="22" spans="2:7" ht="12.75">
      <c r="B22" s="118"/>
      <c r="C22" s="118"/>
      <c r="D22" s="118"/>
      <c r="E22" s="118"/>
      <c r="F22" s="118"/>
      <c r="G22" s="118"/>
    </row>
    <row r="23" spans="2:7" ht="12.75">
      <c r="B23" s="118"/>
      <c r="C23" s="118"/>
      <c r="D23" s="118"/>
      <c r="E23" s="118"/>
      <c r="F23" s="118"/>
      <c r="G23" s="118"/>
    </row>
    <row r="24" spans="2:7" ht="12.75">
      <c r="B24" s="118"/>
      <c r="C24" s="118"/>
      <c r="D24" s="118"/>
      <c r="E24" s="118"/>
      <c r="F24" s="118"/>
      <c r="G24" s="118"/>
    </row>
    <row r="25" spans="2:7" ht="12.75">
      <c r="B25" s="118"/>
      <c r="C25" s="118"/>
      <c r="D25" s="118"/>
      <c r="E25" s="118"/>
      <c r="F25" s="118"/>
      <c r="G25" s="118"/>
    </row>
    <row r="26" spans="2:7" ht="12.75">
      <c r="B26" s="118"/>
      <c r="C26" s="118"/>
      <c r="D26" s="118"/>
      <c r="E26" s="118"/>
      <c r="F26" s="118"/>
      <c r="G26" s="118"/>
    </row>
    <row r="27" spans="2:7" ht="12.75">
      <c r="B27" s="118"/>
      <c r="C27" s="118"/>
      <c r="D27" s="118"/>
      <c r="E27" s="118"/>
      <c r="F27" s="118"/>
      <c r="G27" s="118"/>
    </row>
    <row r="28" spans="2:7" ht="12.75">
      <c r="B28" s="118"/>
      <c r="C28" s="118"/>
      <c r="D28" s="118"/>
      <c r="E28" s="118"/>
      <c r="F28" s="118"/>
      <c r="G28" s="118"/>
    </row>
    <row r="29" spans="2:7" ht="12.75">
      <c r="B29" s="118"/>
      <c r="C29" s="118"/>
      <c r="D29" s="118"/>
      <c r="E29" s="118"/>
      <c r="F29" s="118"/>
      <c r="G29" s="118"/>
    </row>
    <row r="30" spans="2:7" ht="12.75">
      <c r="B30" s="118"/>
      <c r="C30" s="118"/>
      <c r="D30" s="118"/>
      <c r="E30" s="118"/>
      <c r="F30" s="118"/>
      <c r="G30" s="118"/>
    </row>
    <row r="31" spans="2:7" ht="12.75">
      <c r="B31" s="118"/>
      <c r="C31" s="118"/>
      <c r="D31" s="118"/>
      <c r="E31" s="118"/>
      <c r="F31" s="118"/>
      <c r="G31" s="118"/>
    </row>
    <row r="32" spans="2:7" ht="12.75">
      <c r="B32" s="118"/>
      <c r="C32" s="118"/>
      <c r="D32" s="118"/>
      <c r="E32" s="118"/>
      <c r="F32" s="118"/>
      <c r="G32" s="118"/>
    </row>
    <row r="33" spans="2:7" ht="12.75">
      <c r="B33" s="118"/>
      <c r="C33" s="118"/>
      <c r="D33" s="118"/>
      <c r="E33" s="118"/>
      <c r="F33" s="118"/>
      <c r="G33" s="118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2.75">
      <c r="A37" s="92" t="s">
        <v>387</v>
      </c>
      <c r="B37" s="92"/>
      <c r="C37" s="92"/>
      <c r="D37" s="92"/>
      <c r="E37" s="92"/>
      <c r="F37" s="92"/>
      <c r="G37" s="92"/>
    </row>
    <row r="38" spans="1:7" ht="12.75">
      <c r="A38" s="117" t="s">
        <v>17</v>
      </c>
      <c r="B38" s="117" t="s">
        <v>365</v>
      </c>
      <c r="C38" s="117" t="s">
        <v>278</v>
      </c>
      <c r="D38" s="122" t="s">
        <v>371</v>
      </c>
      <c r="E38" s="122" t="s">
        <v>15</v>
      </c>
      <c r="F38" s="122" t="s">
        <v>386</v>
      </c>
      <c r="G38" s="122"/>
    </row>
    <row r="39" spans="1:7" ht="12.75">
      <c r="A39" s="123" t="s">
        <v>277</v>
      </c>
      <c r="B39" s="124">
        <f>(F115*'River-Res data'!T156)*2.72</f>
        <v>68.5546896</v>
      </c>
      <c r="C39" s="124">
        <f>(G115*'River-Res data'!T132)*2.72</f>
        <v>107.34661152000002</v>
      </c>
      <c r="D39" s="124">
        <f>(H115*'River-Res data'!R72)*2.723</f>
        <v>163.150407532</v>
      </c>
      <c r="E39" s="124">
        <f>(I115*'River-Res data'!T255)*2.723</f>
        <v>99.78662232000002</v>
      </c>
      <c r="F39" s="124">
        <f aca="true" t="shared" si="1" ref="F39:F50">(B39+C39)-E39</f>
        <v>76.11467880000001</v>
      </c>
      <c r="G39" s="92"/>
    </row>
    <row r="40" spans="1:7" ht="12.75">
      <c r="A40" s="123" t="s">
        <v>0</v>
      </c>
      <c r="B40" s="124">
        <f>(F116*'River-Res data'!T157)*2.72</f>
        <v>69.4716288</v>
      </c>
      <c r="C40" s="124">
        <f>(G116*'River-Res data'!T133)*2.72</f>
        <v>45.91168512</v>
      </c>
      <c r="D40" s="124">
        <f>(H116*'River-Res data'!R76)*2.723</f>
        <v>115.51057492800001</v>
      </c>
      <c r="E40" s="124">
        <f>(I116*'River-Res data'!T256)*2.723</f>
        <v>92.22702972</v>
      </c>
      <c r="F40" s="124">
        <f t="shared" si="1"/>
        <v>23.1562842</v>
      </c>
      <c r="G40" s="92"/>
    </row>
    <row r="41" spans="1:7" ht="12.75">
      <c r="A41" s="123" t="s">
        <v>1</v>
      </c>
      <c r="B41" s="124">
        <f>(F117*'River-Res data'!T158)*2.72</f>
        <v>180.58308480000005</v>
      </c>
      <c r="C41" s="124">
        <f>(G117*'River-Res data'!T134)*2.72</f>
        <v>821.6530358400001</v>
      </c>
      <c r="D41" s="124">
        <f>(H117*'River-Res data'!R80)*2.723</f>
        <v>123.534542502</v>
      </c>
      <c r="E41" s="124">
        <f>(I117*'River-Res data'!T257)*2.723</f>
        <v>169.06488879</v>
      </c>
      <c r="F41" s="124">
        <f t="shared" si="1"/>
        <v>833.1712318500001</v>
      </c>
      <c r="G41" s="92"/>
    </row>
    <row r="42" spans="1:7" ht="12.75">
      <c r="A42" s="123" t="s">
        <v>2</v>
      </c>
      <c r="B42" s="124">
        <f>(F118*'River-Res data'!T159)*2.72</f>
        <v>161.8128</v>
      </c>
      <c r="C42" s="124">
        <f>(G118*'River-Res data'!T135)*2.72</f>
        <v>9527.537664000001</v>
      </c>
      <c r="D42" s="124">
        <f>(H118*'River-Res data'!R84)*2.723</f>
        <v>379.0595718</v>
      </c>
      <c r="E42" s="124">
        <f>(I118*'River-Res data'!T258)*2.723</f>
        <v>362.8604448</v>
      </c>
      <c r="F42" s="124">
        <f t="shared" si="1"/>
        <v>9326.4900192</v>
      </c>
      <c r="G42" s="92"/>
    </row>
    <row r="43" spans="1:7" ht="12.75">
      <c r="A43" s="123" t="s">
        <v>3</v>
      </c>
      <c r="B43" s="124">
        <f>(F119*'River-Res data'!T160)*2.72</f>
        <v>3421.0462176</v>
      </c>
      <c r="C43" s="124">
        <f>(G119*'River-Res data'!T136)*2.72</f>
        <v>19253.835384</v>
      </c>
      <c r="D43" s="124">
        <f>(H119*'River-Res data'!R88)*2.723</f>
        <v>6769.291190760001</v>
      </c>
      <c r="E43" s="124">
        <f>(I119*'River-Res data'!T259)*2.723</f>
        <v>9792.3722715</v>
      </c>
      <c r="F43" s="124">
        <f t="shared" si="1"/>
        <v>12882.509330100002</v>
      </c>
      <c r="G43" s="92"/>
    </row>
    <row r="44" spans="1:7" ht="12.75">
      <c r="A44" s="123" t="s">
        <v>4</v>
      </c>
      <c r="B44" s="124">
        <f>(F120*'River-Res data'!T161)*2.72</f>
        <v>543.691008</v>
      </c>
      <c r="C44" s="124">
        <f>(G120*'River-Res data'!T137)*2.72</f>
        <v>3365.7062400000004</v>
      </c>
      <c r="D44" s="124">
        <f>(H120*'River-Res data'!R92)*2.723</f>
        <v>1047.5435459999999</v>
      </c>
      <c r="E44" s="124">
        <f>(I120*'River-Res data'!T260)*2.723</f>
        <v>4730.145084000001</v>
      </c>
      <c r="F44" s="124">
        <f t="shared" si="1"/>
        <v>-820.7478360000005</v>
      </c>
      <c r="G44" s="125"/>
    </row>
    <row r="45" spans="1:7" ht="12.75">
      <c r="A45" s="123" t="s">
        <v>5</v>
      </c>
      <c r="B45" s="124">
        <f>(F121*'River-Res data'!T164)*2.72</f>
        <v>659.6298792</v>
      </c>
      <c r="C45" s="124">
        <f>(G121*'River-Res data'!T138)*2.72</f>
        <v>2360.622214080001</v>
      </c>
      <c r="D45" s="124">
        <f>(H121*'River-Res data'!R99)*2.723</f>
        <v>1201.5882442549998</v>
      </c>
      <c r="E45" s="124">
        <f>(I121*'River-Res data'!T263)*2.723</f>
        <v>596.3303626875</v>
      </c>
      <c r="F45" s="124">
        <f t="shared" si="1"/>
        <v>2423.921730592501</v>
      </c>
      <c r="G45" s="126"/>
    </row>
    <row r="46" spans="1:7" ht="12.75">
      <c r="A46" s="123" t="s">
        <v>6</v>
      </c>
      <c r="B46" s="124">
        <f>(F122*'River-Res data'!T167)*2.72</f>
        <v>7973.2448136</v>
      </c>
      <c r="C46" s="124">
        <f>(G122*'River-Res data'!T139)*2.72</f>
        <v>717.4833489600002</v>
      </c>
      <c r="D46" s="124">
        <f>(H122*'River-Res data'!R106)*2.723</f>
        <v>1041.6740623169999</v>
      </c>
      <c r="E46" s="124">
        <f>(I122*'River-Res data'!T266)*2.723</f>
        <v>5712.217158375</v>
      </c>
      <c r="F46" s="124">
        <f t="shared" si="1"/>
        <v>2978.511004185001</v>
      </c>
      <c r="G46" s="126"/>
    </row>
    <row r="47" spans="1:7" ht="12.75">
      <c r="A47" s="123" t="s">
        <v>7</v>
      </c>
      <c r="B47" s="124">
        <f>(F123*'River-Res data'!T170)*2.72</f>
        <v>496.360764</v>
      </c>
      <c r="C47" s="124">
        <f>(G123*'River-Res data'!T140)*2.72</f>
        <v>165.61540080000003</v>
      </c>
      <c r="D47" s="124">
        <f>(H123*'River-Res data'!R113)*2.723</f>
        <v>564.134597775</v>
      </c>
      <c r="E47" s="124">
        <f>(I123*'River-Res data'!T269)*2.723</f>
        <v>583.1685719999999</v>
      </c>
      <c r="F47" s="124">
        <f t="shared" si="1"/>
        <v>78.80759280000018</v>
      </c>
      <c r="G47" s="126"/>
    </row>
    <row r="48" spans="1:7" ht="12.75">
      <c r="A48" s="123" t="s">
        <v>8</v>
      </c>
      <c r="B48" s="124">
        <f>(F124*'River-Res data'!T171)*2.72</f>
        <v>56.8502304</v>
      </c>
      <c r="C48" s="124">
        <f>(G124*'River-Res data'!T141)*2.72</f>
        <v>1056.7454592000004</v>
      </c>
      <c r="D48" s="124">
        <f>(H124*'River-Res data'!R117)*2.723</f>
        <v>70.30421118</v>
      </c>
      <c r="E48" s="124">
        <f>(I124*'River-Res data'!T270)*2.723</f>
        <v>150.6518811</v>
      </c>
      <c r="F48" s="124">
        <f t="shared" si="1"/>
        <v>962.9438085000005</v>
      </c>
      <c r="G48" s="126"/>
    </row>
    <row r="49" spans="1:7" ht="12.75">
      <c r="A49" s="123" t="s">
        <v>9</v>
      </c>
      <c r="B49" s="124">
        <f>(F125*'River-Res data'!T172)*2.72</f>
        <v>51.780096</v>
      </c>
      <c r="C49" s="124">
        <f>(G125*'River-Res data'!T142)*2.72</f>
        <v>123.78679200000003</v>
      </c>
      <c r="D49" s="124">
        <f>(H125*'River-Res data'!R121)*2.723</f>
        <v>102.16249428000002</v>
      </c>
      <c r="E49" s="124">
        <f>(I125*'River-Res data'!T271)*2.723</f>
        <v>242.98690500000004</v>
      </c>
      <c r="F49" s="124">
        <f t="shared" si="1"/>
        <v>-67.420017</v>
      </c>
      <c r="G49" s="126"/>
    </row>
    <row r="50" spans="1:7" ht="12.75">
      <c r="A50" s="123" t="s">
        <v>10</v>
      </c>
      <c r="B50" s="124">
        <f>(F126*'River-Res data'!T173)*2.72</f>
        <v>101.99600160000001</v>
      </c>
      <c r="C50" s="124">
        <f>(G126*'River-Res data'!T143)*2.72</f>
        <v>835.6983868800002</v>
      </c>
      <c r="D50" s="124">
        <f>(H126*'River-Res data'!R125)*2.723</f>
        <v>162.704031588</v>
      </c>
      <c r="E50" s="124">
        <f>(I126*'River-Res data'!T272)*2.723</f>
        <v>16.7390979</v>
      </c>
      <c r="F50" s="124">
        <f t="shared" si="1"/>
        <v>920.9552905800001</v>
      </c>
      <c r="G50" s="126"/>
    </row>
    <row r="51" spans="1:7" ht="12.75">
      <c r="A51" s="122" t="s">
        <v>134</v>
      </c>
      <c r="B51" s="129">
        <f>SUM(B39:B50)</f>
        <v>13785.021213600003</v>
      </c>
      <c r="C51" s="129">
        <f>SUM(C39:C50)</f>
        <v>38381.94222240001</v>
      </c>
      <c r="D51" s="129">
        <f>SUM(D39:D50)</f>
        <v>11740.657474917003</v>
      </c>
      <c r="E51" s="129">
        <f>SUM(E39:E50)</f>
        <v>22548.5503181925</v>
      </c>
      <c r="F51" s="129">
        <f>SUM(F39:F50)</f>
        <v>29618.413117807504</v>
      </c>
      <c r="G51" s="129">
        <f>SUM(B51:C51)</f>
        <v>52166.96343600001</v>
      </c>
    </row>
    <row r="52" spans="2:7" ht="12.75">
      <c r="B52" s="118"/>
      <c r="C52" s="118"/>
      <c r="D52" s="118"/>
      <c r="E52" s="118"/>
      <c r="F52" s="118"/>
      <c r="G52" s="118"/>
    </row>
    <row r="53" spans="2:7" ht="12.75">
      <c r="B53" s="118"/>
      <c r="C53" s="118"/>
      <c r="D53" s="118"/>
      <c r="E53" s="118"/>
      <c r="F53" s="118"/>
      <c r="G53" s="118"/>
    </row>
    <row r="54" spans="2:7" ht="12.75">
      <c r="B54" s="118"/>
      <c r="C54" s="118"/>
      <c r="D54" s="118"/>
      <c r="E54" s="118"/>
      <c r="F54" s="118"/>
      <c r="G54" s="118"/>
    </row>
    <row r="55" spans="2:7" ht="12.75">
      <c r="B55" s="118"/>
      <c r="C55" s="118"/>
      <c r="D55" s="118"/>
      <c r="E55" s="118"/>
      <c r="F55" s="118"/>
      <c r="G55" s="118"/>
    </row>
    <row r="56" spans="2:7" ht="12.75">
      <c r="B56" s="118"/>
      <c r="C56" s="118"/>
      <c r="D56" s="118"/>
      <c r="E56" s="118"/>
      <c r="F56" s="118"/>
      <c r="G56" s="118"/>
    </row>
    <row r="57" spans="2:7" ht="12.75">
      <c r="B57" s="118"/>
      <c r="C57" s="118"/>
      <c r="D57" s="118"/>
      <c r="E57" s="118"/>
      <c r="F57" s="118"/>
      <c r="G57" s="118"/>
    </row>
    <row r="58" spans="2:7" ht="12.75">
      <c r="B58" s="118"/>
      <c r="C58" s="118"/>
      <c r="D58" s="118"/>
      <c r="E58" s="118"/>
      <c r="F58" s="118"/>
      <c r="G58" s="118"/>
    </row>
    <row r="59" spans="2:7" ht="12.75">
      <c r="B59" s="118"/>
      <c r="C59" s="118"/>
      <c r="D59" s="118"/>
      <c r="E59" s="118"/>
      <c r="F59" s="118"/>
      <c r="G59" s="118"/>
    </row>
    <row r="60" spans="2:7" ht="12" customHeight="1">
      <c r="B60" s="118"/>
      <c r="C60" s="118"/>
      <c r="D60" s="118"/>
      <c r="E60" s="118"/>
      <c r="F60" s="118"/>
      <c r="G60" s="118"/>
    </row>
    <row r="61" spans="2:7" ht="12.75">
      <c r="B61" s="118"/>
      <c r="C61" s="118"/>
      <c r="D61" s="118"/>
      <c r="E61" s="118"/>
      <c r="F61" s="118"/>
      <c r="G61" s="118"/>
    </row>
    <row r="62" spans="2:7" ht="12.75">
      <c r="B62" s="118"/>
      <c r="C62" s="118"/>
      <c r="D62" s="118"/>
      <c r="E62" s="118"/>
      <c r="F62" s="118"/>
      <c r="G62" s="118"/>
    </row>
    <row r="63" spans="2:7" ht="12.75">
      <c r="B63" s="118"/>
      <c r="C63" s="118"/>
      <c r="D63" s="118"/>
      <c r="E63" s="118"/>
      <c r="F63" s="118"/>
      <c r="G63" s="118"/>
    </row>
    <row r="64" spans="2:7" ht="12.75">
      <c r="B64" s="118"/>
      <c r="C64" s="118"/>
      <c r="D64" s="118"/>
      <c r="E64" s="118"/>
      <c r="F64" s="118"/>
      <c r="G64" s="118"/>
    </row>
    <row r="65" spans="2:7" ht="12.75">
      <c r="B65" s="118"/>
      <c r="C65" s="118"/>
      <c r="D65" s="118"/>
      <c r="E65" s="118"/>
      <c r="F65" s="118"/>
      <c r="G65" s="118"/>
    </row>
    <row r="66" spans="2:7" ht="12.75">
      <c r="B66" s="118"/>
      <c r="C66" s="118"/>
      <c r="D66" s="118"/>
      <c r="E66" s="118"/>
      <c r="F66" s="118"/>
      <c r="G66" s="118"/>
    </row>
    <row r="67" spans="2:7" ht="12.75">
      <c r="B67" s="118"/>
      <c r="C67" s="118"/>
      <c r="D67" s="118"/>
      <c r="E67" s="118"/>
      <c r="F67" s="118"/>
      <c r="G67" s="118"/>
    </row>
    <row r="68" spans="2:7" ht="12.75">
      <c r="B68" s="118"/>
      <c r="C68" s="118"/>
      <c r="D68" s="118"/>
      <c r="E68" s="118"/>
      <c r="F68" s="118"/>
      <c r="G68" s="118"/>
    </row>
    <row r="69" spans="2:7" ht="12.75">
      <c r="B69" s="118"/>
      <c r="C69" s="118"/>
      <c r="D69" s="118"/>
      <c r="E69" s="118"/>
      <c r="F69" s="118"/>
      <c r="G69" s="118"/>
    </row>
    <row r="70" spans="2:7" ht="12" customHeight="1">
      <c r="B70" s="118"/>
      <c r="C70" s="118"/>
      <c r="D70" s="118"/>
      <c r="E70" s="118"/>
      <c r="F70" s="118"/>
      <c r="G70" s="118"/>
    </row>
    <row r="71" spans="2:7" ht="12" customHeight="1">
      <c r="B71" s="118"/>
      <c r="C71" s="118"/>
      <c r="D71" s="118"/>
      <c r="E71" s="118"/>
      <c r="F71" s="118"/>
      <c r="G71" s="118"/>
    </row>
    <row r="72" spans="2:7" ht="12.75">
      <c r="B72" s="118"/>
      <c r="C72" s="118"/>
      <c r="D72" s="118"/>
      <c r="E72" s="118"/>
      <c r="F72" s="118"/>
      <c r="G72" s="118"/>
    </row>
    <row r="73" spans="2:7" ht="12.75">
      <c r="B73" s="118"/>
      <c r="C73" s="118"/>
      <c r="D73" s="118"/>
      <c r="E73" s="118"/>
      <c r="F73" s="118"/>
      <c r="G73" s="118"/>
    </row>
    <row r="74" spans="1:7" ht="12.75">
      <c r="A74" s="92" t="s">
        <v>384</v>
      </c>
      <c r="B74" s="116" t="s">
        <v>365</v>
      </c>
      <c r="C74" s="116" t="s">
        <v>278</v>
      </c>
      <c r="D74" s="92" t="s">
        <v>371</v>
      </c>
      <c r="E74" s="92" t="s">
        <v>15</v>
      </c>
      <c r="F74" s="92" t="s">
        <v>386</v>
      </c>
      <c r="G74" s="126" t="s">
        <v>401</v>
      </c>
    </row>
    <row r="75" spans="1:7" ht="12.75">
      <c r="A75" s="123" t="s">
        <v>277</v>
      </c>
      <c r="B75" s="124">
        <f>(F115*'River-Res data'!U156)*2.72</f>
        <v>137109.37920000002</v>
      </c>
      <c r="C75" s="124">
        <f>(G115*'River-Res data'!U132)*2.72</f>
        <v>128815.93382400004</v>
      </c>
      <c r="D75" s="124">
        <f>(H115*'River-Res data'!S72)*2.723</f>
        <v>391560.9780768</v>
      </c>
      <c r="E75" s="124">
        <f>(I115*'River-Res data'!U255)*2.723</f>
        <v>79829.297856</v>
      </c>
      <c r="F75" s="124">
        <f aca="true" t="shared" si="2" ref="F75:F86">(B75+C75)-E75</f>
        <v>186096.015168</v>
      </c>
      <c r="G75" s="126"/>
    </row>
    <row r="76" spans="1:7" ht="12.75">
      <c r="A76" s="123" t="s">
        <v>0</v>
      </c>
      <c r="B76" s="124">
        <f>(F116*'River-Res data'!U157)*2.72</f>
        <v>34735.8144</v>
      </c>
      <c r="C76" s="124">
        <f>(G116*'River-Res data'!U133)*2.72</f>
        <v>183646.74048</v>
      </c>
      <c r="D76" s="124">
        <f>(H116*'River-Res data'!S76)*2.723</f>
        <v>57755.28746400001</v>
      </c>
      <c r="E76" s="124">
        <f>(I116*'River-Res data'!U256)*2.723</f>
        <v>46113.51486000001</v>
      </c>
      <c r="F76" s="124">
        <f t="shared" si="2"/>
        <v>172269.04002000001</v>
      </c>
      <c r="G76" s="126"/>
    </row>
    <row r="77" spans="1:7" ht="12.75">
      <c r="A77" s="123" t="s">
        <v>1</v>
      </c>
      <c r="B77" s="124">
        <f>(F117*'River-Res data'!U158)*2.72</f>
        <v>120388.72320000002</v>
      </c>
      <c r="C77" s="124">
        <f>(G117*'River-Res data'!U134)*2.72</f>
        <v>1339926.489216</v>
      </c>
      <c r="D77" s="124">
        <f>(H117*'River-Res data'!S80)*2.723</f>
        <v>82356.36166800001</v>
      </c>
      <c r="E77" s="124">
        <f>(I117*'River-Res data'!U257)*2.723</f>
        <v>84532.444395</v>
      </c>
      <c r="F77" s="124">
        <f t="shared" si="2"/>
        <v>1375782.768021</v>
      </c>
      <c r="G77" s="126"/>
    </row>
    <row r="78" spans="1:7" ht="12.75">
      <c r="A78" s="123" t="s">
        <v>2</v>
      </c>
      <c r="B78" s="124">
        <f>(F118*'River-Res data'!U159)*2.72</f>
        <v>48543.840000000004</v>
      </c>
      <c r="C78" s="124">
        <f>(G118*'River-Res data'!U135)*2.72</f>
        <v>8038859.904000001</v>
      </c>
      <c r="D78" s="124">
        <f>(H118*'River-Res data'!S84)*2.723</f>
        <v>189529.7859</v>
      </c>
      <c r="E78" s="124">
        <f>(I118*'River-Res data'!U258)*2.723</f>
        <v>181430.2224</v>
      </c>
      <c r="F78" s="124">
        <f t="shared" si="2"/>
        <v>7905973.521600001</v>
      </c>
      <c r="G78" s="92"/>
    </row>
    <row r="79" spans="1:7" ht="12.75">
      <c r="A79" s="123" t="s">
        <v>3</v>
      </c>
      <c r="B79" s="124">
        <f>(F119*'River-Res data'!U160)*2.72</f>
        <v>2280697.4784000004</v>
      </c>
      <c r="C79" s="124">
        <f>(G119*'River-Res data'!U136)*2.72</f>
        <v>14082805.309440002</v>
      </c>
      <c r="D79" s="124">
        <f>(H119*'River-Res data'!S88)*2.723</f>
        <v>1692322.79769</v>
      </c>
      <c r="E79" s="124">
        <f>(I119*'River-Res data'!U259)*2.723</f>
        <v>2741864.2360199997</v>
      </c>
      <c r="F79" s="124">
        <f t="shared" si="2"/>
        <v>13621638.551820002</v>
      </c>
      <c r="G79" s="214">
        <f>SUM(B79:C79)</f>
        <v>16363502.787840001</v>
      </c>
    </row>
    <row r="80" spans="1:7" ht="12.75">
      <c r="A80" s="123" t="s">
        <v>4</v>
      </c>
      <c r="B80" s="124">
        <f>(F120*'River-Res data'!U161)*2.72</f>
        <v>543691.008</v>
      </c>
      <c r="C80" s="124">
        <f>(G120*'River-Res data'!U137)*2.72</f>
        <v>168285.312</v>
      </c>
      <c r="D80" s="124">
        <f>(H120*'River-Res data'!S92)*2.723</f>
        <v>314263.06379999995</v>
      </c>
      <c r="E80" s="124">
        <f>(I120*'River-Res data'!U260)*2.723</f>
        <v>591268.1355000001</v>
      </c>
      <c r="F80" s="124">
        <f t="shared" si="2"/>
        <v>120708.18449999997</v>
      </c>
      <c r="G80" s="92"/>
    </row>
    <row r="81" spans="1:7" ht="12.75">
      <c r="A81" s="123" t="s">
        <v>5</v>
      </c>
      <c r="B81" s="124">
        <f>(F121*'River-Res data'!U164)*2.72</f>
        <v>560685.3973200001</v>
      </c>
      <c r="C81" s="124">
        <f>(G121*'River-Res data'!U140)*2.72</f>
        <v>835297.0911360002</v>
      </c>
      <c r="D81" s="124">
        <f>(H121*'River-Res data'!S99)*2.723</f>
        <v>360476.4732765</v>
      </c>
      <c r="E81" s="124">
        <f>(I121*'River-Res data'!U263)*2.723</f>
        <v>377675.89636875</v>
      </c>
      <c r="F81" s="124">
        <f t="shared" si="2"/>
        <v>1018306.5920872503</v>
      </c>
      <c r="G81" s="92"/>
    </row>
    <row r="82" spans="1:7" ht="12.75">
      <c r="A82" s="123" t="s">
        <v>6</v>
      </c>
      <c r="B82" s="124">
        <f>(F122*'River-Res data'!U167)*2.72</f>
        <v>5440567.04928</v>
      </c>
      <c r="C82" s="124">
        <f>(G122*'River-Res data'!U143)*2.72</f>
        <v>8148560.891760002</v>
      </c>
      <c r="D82" s="124">
        <f>(H122*'River-Res data'!S106)*2.723</f>
        <v>520837.0311584999</v>
      </c>
      <c r="E82" s="124">
        <f>(I122*'River-Res data'!U266)*2.723</f>
        <v>1550458.9429874998</v>
      </c>
      <c r="F82" s="124">
        <f t="shared" si="2"/>
        <v>12038668.998052502</v>
      </c>
      <c r="G82" s="214">
        <f>SUM(B82:C82)</f>
        <v>13589127.941040002</v>
      </c>
    </row>
    <row r="83" spans="1:7" ht="12.75">
      <c r="A83" s="123" t="s">
        <v>7</v>
      </c>
      <c r="B83" s="124">
        <f>(F123*'River-Res data'!U170)*2.72</f>
        <v>430179.3288000001</v>
      </c>
      <c r="C83" s="124">
        <f>(G123*'River-Res data'!U146)*2.72</f>
        <v>32403.0132</v>
      </c>
      <c r="D83" s="124">
        <f>(H123*'River-Res data'!S113)*2.723</f>
        <v>451307.67822</v>
      </c>
      <c r="E83" s="124">
        <f>(I123*'River-Res data'!U269)*2.723</f>
        <v>466534.8576</v>
      </c>
      <c r="F83" s="124">
        <f t="shared" si="2"/>
        <v>-3952.515599999926</v>
      </c>
      <c r="G83" s="92"/>
    </row>
    <row r="84" spans="1:7" ht="12.75">
      <c r="A84" s="123" t="s">
        <v>8</v>
      </c>
      <c r="B84" s="124">
        <f>(F124*'River-Res data'!U171)*2.72</f>
        <v>28425.1152</v>
      </c>
      <c r="C84" s="124">
        <f>(G124*'River-Res data'!U147)*2.72</f>
        <v>84272.10624000001</v>
      </c>
      <c r="D84" s="124">
        <f>(H124*'River-Res data'!S117)*2.723</f>
        <v>42182.526708</v>
      </c>
      <c r="E84" s="124">
        <f>(I124*'River-Res data'!U270)*2.723</f>
        <v>90391.12865999999</v>
      </c>
      <c r="F84" s="124">
        <f t="shared" si="2"/>
        <v>22306.09278000002</v>
      </c>
      <c r="G84" s="125"/>
    </row>
    <row r="85" spans="1:7" ht="12.75">
      <c r="A85" s="123" t="s">
        <v>9</v>
      </c>
      <c r="B85" s="124">
        <f>(F125*'River-Res data'!U172)*2.72</f>
        <v>25890.048000000003</v>
      </c>
      <c r="C85" s="124">
        <f>(G125*'River-Res data'!U148)*2.72</f>
        <v>331748.6025600001</v>
      </c>
      <c r="D85" s="124">
        <f>(H125*'River-Res data'!S121)*2.723</f>
        <v>56189.371854000005</v>
      </c>
      <c r="E85" s="124">
        <f>(I125*'River-Res data'!U271)*2.723</f>
        <v>24298.6905</v>
      </c>
      <c r="F85" s="124">
        <f t="shared" si="2"/>
        <v>333339.96006000007</v>
      </c>
      <c r="G85" s="126"/>
    </row>
    <row r="86" spans="1:7" ht="12.75">
      <c r="A86" s="123" t="s">
        <v>10</v>
      </c>
      <c r="B86" s="124">
        <f>(F126*'River-Res data'!U173)*2.72</f>
        <v>203992.0032</v>
      </c>
      <c r="C86" s="124">
        <f>(G126*'River-Res data'!U149)*2.72</f>
        <v>9948.790320000002</v>
      </c>
      <c r="D86" s="124">
        <f>(H126*'River-Res data'!S125)*2.723</f>
        <v>77284.41500429998</v>
      </c>
      <c r="E86" s="124">
        <f>(I126*'River-Res data'!U272)*2.723</f>
        <v>10043.45874</v>
      </c>
      <c r="F86" s="124">
        <f t="shared" si="2"/>
        <v>203897.33478</v>
      </c>
      <c r="G86" s="126"/>
    </row>
    <row r="87" spans="2:7" ht="12.75">
      <c r="B87" s="118">
        <f>SUM(B75:B86)</f>
        <v>9854905.185</v>
      </c>
      <c r="C87" s="118">
        <f>SUM(C75:C86)</f>
        <v>33384570.184176005</v>
      </c>
      <c r="D87" s="118">
        <f>SUM(D75:D86)</f>
        <v>4236065.7708201</v>
      </c>
      <c r="E87" s="118">
        <f>SUM(E75:E86)</f>
        <v>6244440.825887248</v>
      </c>
      <c r="F87" s="118">
        <f>SUM(F75:F86)</f>
        <v>36995034.54328876</v>
      </c>
      <c r="G87" s="214">
        <f>SUM(B87:C87)</f>
        <v>43239475.36917601</v>
      </c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3:7" ht="12.75">
      <c r="C95" s="4"/>
      <c r="E95" s="4"/>
      <c r="G95" s="4"/>
    </row>
    <row r="96" spans="2:7" ht="12.75">
      <c r="B96" s="4"/>
      <c r="C96" s="4"/>
      <c r="D96" s="4"/>
      <c r="E96" s="4"/>
      <c r="F96" s="4"/>
      <c r="G96" s="4"/>
    </row>
    <row r="97" spans="3:7" ht="12.75">
      <c r="C97" s="4"/>
      <c r="E97" s="4"/>
      <c r="F97" s="56"/>
      <c r="G97" s="4"/>
    </row>
    <row r="98" spans="2:3" ht="12.75">
      <c r="B98" s="57"/>
      <c r="C98" s="57"/>
    </row>
    <row r="99" spans="1:10" ht="12.75">
      <c r="A99" s="51">
        <v>1998</v>
      </c>
      <c r="B99" s="51" t="s">
        <v>21</v>
      </c>
      <c r="C99" s="51" t="s">
        <v>25</v>
      </c>
      <c r="D99" s="51" t="s">
        <v>283</v>
      </c>
      <c r="E99" s="51"/>
      <c r="F99" s="52"/>
      <c r="G99" s="52"/>
      <c r="J99"/>
    </row>
    <row r="100" spans="2:10" ht="12.75">
      <c r="B100" s="53" t="s">
        <v>280</v>
      </c>
      <c r="C100" s="53" t="s">
        <v>279</v>
      </c>
      <c r="D100" s="53" t="s">
        <v>278</v>
      </c>
      <c r="J100"/>
    </row>
    <row r="101" spans="2:10" ht="12.75">
      <c r="B101" s="53" t="s">
        <v>15</v>
      </c>
      <c r="C101" s="53" t="s">
        <v>281</v>
      </c>
      <c r="D101" s="53" t="s">
        <v>282</v>
      </c>
      <c r="J101"/>
    </row>
    <row r="102" spans="1:10" ht="12.75">
      <c r="A102" s="53" t="s">
        <v>277</v>
      </c>
      <c r="B102" s="87">
        <v>66</v>
      </c>
      <c r="C102" s="87">
        <v>41</v>
      </c>
      <c r="D102" s="87">
        <v>32.1</v>
      </c>
      <c r="J102"/>
    </row>
    <row r="103" spans="1:10" ht="12.75">
      <c r="A103" s="53" t="s">
        <v>0</v>
      </c>
      <c r="B103" s="87">
        <v>61</v>
      </c>
      <c r="C103" s="87">
        <v>46</v>
      </c>
      <c r="D103" s="87">
        <v>30.4</v>
      </c>
      <c r="E103" s="2"/>
      <c r="F103" s="2"/>
      <c r="G103" s="2"/>
      <c r="J103"/>
    </row>
    <row r="104" spans="1:10" ht="12.75">
      <c r="A104" s="53" t="s">
        <v>1</v>
      </c>
      <c r="B104" s="87">
        <v>101</v>
      </c>
      <c r="C104" s="87">
        <v>36</v>
      </c>
      <c r="D104" s="87">
        <v>37.8</v>
      </c>
      <c r="E104" s="2"/>
      <c r="F104" s="2"/>
      <c r="G104" s="2"/>
      <c r="J104"/>
    </row>
    <row r="105" spans="1:10" ht="12.75">
      <c r="A105" s="53" t="s">
        <v>2</v>
      </c>
      <c r="B105" s="87">
        <v>224</v>
      </c>
      <c r="C105" s="87">
        <v>50</v>
      </c>
      <c r="D105" s="87">
        <v>184</v>
      </c>
      <c r="E105" s="4"/>
      <c r="F105" s="4"/>
      <c r="G105" s="4"/>
      <c r="J105"/>
    </row>
    <row r="106" spans="1:10" ht="12.75">
      <c r="A106" s="53" t="s">
        <v>3</v>
      </c>
      <c r="B106" s="87">
        <v>1170</v>
      </c>
      <c r="C106" s="87">
        <v>682</v>
      </c>
      <c r="D106" s="87">
        <v>329</v>
      </c>
      <c r="E106" s="4"/>
      <c r="F106" s="4"/>
      <c r="G106" s="4"/>
      <c r="J106"/>
    </row>
    <row r="107" spans="1:10" ht="12.75">
      <c r="A107" s="53" t="s">
        <v>4</v>
      </c>
      <c r="B107" s="87">
        <v>730</v>
      </c>
      <c r="C107" s="87">
        <v>336</v>
      </c>
      <c r="D107" s="87">
        <v>52</v>
      </c>
      <c r="E107" s="4"/>
      <c r="F107" s="4"/>
      <c r="G107" s="4"/>
      <c r="J107"/>
    </row>
    <row r="108" spans="1:10" ht="12.75">
      <c r="A108" s="53" t="s">
        <v>5</v>
      </c>
      <c r="B108" s="87">
        <f>(300+175)/2</f>
        <v>237.5</v>
      </c>
      <c r="C108" s="87">
        <f>(434+355)/2</f>
        <v>394.5</v>
      </c>
      <c r="D108" s="87">
        <v>36.2</v>
      </c>
      <c r="E108" s="4"/>
      <c r="F108" s="4"/>
      <c r="G108" s="4"/>
      <c r="J108"/>
    </row>
    <row r="109" spans="1:10" ht="12.75">
      <c r="A109" s="53" t="s">
        <v>6</v>
      </c>
      <c r="B109" s="87">
        <f>(725+250)/2</f>
        <v>487.5</v>
      </c>
      <c r="C109" s="87">
        <v>561</v>
      </c>
      <c r="D109" s="87">
        <v>61.3</v>
      </c>
      <c r="E109" s="4"/>
      <c r="F109" s="4"/>
      <c r="G109" s="4"/>
      <c r="J109"/>
    </row>
    <row r="110" spans="1:10" ht="12.75">
      <c r="A110" s="53" t="s">
        <v>7</v>
      </c>
      <c r="B110" s="87">
        <f>(475+5)/2</f>
        <v>240</v>
      </c>
      <c r="C110" s="87">
        <f>(313+96)/2</f>
        <v>204.5</v>
      </c>
      <c r="D110" s="87">
        <v>4.45</v>
      </c>
      <c r="E110" s="255" t="s">
        <v>292</v>
      </c>
      <c r="F110" s="255"/>
      <c r="G110" s="255"/>
      <c r="H110" s="255"/>
      <c r="I110" s="255"/>
      <c r="J110" s="255"/>
    </row>
    <row r="111" spans="1:10" ht="12.75">
      <c r="A111" s="53" t="s">
        <v>8</v>
      </c>
      <c r="B111" s="87">
        <v>90</v>
      </c>
      <c r="C111" s="87">
        <v>34</v>
      </c>
      <c r="D111" s="87">
        <v>8</v>
      </c>
      <c r="E111" s="4"/>
      <c r="F111" s="4"/>
      <c r="G111" s="4"/>
      <c r="J111"/>
    </row>
    <row r="112" spans="1:10" ht="12.75">
      <c r="A112" s="53" t="s">
        <v>9</v>
      </c>
      <c r="B112" s="87">
        <v>30</v>
      </c>
      <c r="C112" s="87">
        <v>32</v>
      </c>
      <c r="D112" s="87">
        <v>15.3</v>
      </c>
      <c r="E112" s="261">
        <v>1998</v>
      </c>
      <c r="F112" s="262" t="s">
        <v>286</v>
      </c>
      <c r="G112" s="262" t="s">
        <v>287</v>
      </c>
      <c r="H112" s="262" t="s">
        <v>288</v>
      </c>
      <c r="I112" s="263" t="s">
        <v>290</v>
      </c>
      <c r="J112" s="264" t="s">
        <v>291</v>
      </c>
    </row>
    <row r="113" spans="1:10" ht="12.75">
      <c r="A113" s="53" t="s">
        <v>10</v>
      </c>
      <c r="B113" s="87">
        <v>10</v>
      </c>
      <c r="C113" s="87">
        <v>61</v>
      </c>
      <c r="D113" s="87">
        <v>11.9</v>
      </c>
      <c r="E113" s="261"/>
      <c r="F113" s="262"/>
      <c r="G113" s="262"/>
      <c r="H113" s="262"/>
      <c r="I113" s="263"/>
      <c r="J113" s="264"/>
    </row>
    <row r="114" spans="2:10" ht="12.75">
      <c r="B114" s="52" t="s">
        <v>284</v>
      </c>
      <c r="C114" s="52" t="s">
        <v>284</v>
      </c>
      <c r="D114" s="52" t="s">
        <v>284</v>
      </c>
      <c r="E114" s="261"/>
      <c r="F114" s="265" t="s">
        <v>285</v>
      </c>
      <c r="G114" s="265"/>
      <c r="H114" s="265"/>
      <c r="I114" s="265"/>
      <c r="J114" s="265"/>
    </row>
    <row r="115" spans="1:10" ht="12.75">
      <c r="A115" s="53" t="s">
        <v>277</v>
      </c>
      <c r="B115" s="87">
        <f aca="true" t="shared" si="3" ref="B115:D116">+B102*1.983</f>
        <v>130.87800000000001</v>
      </c>
      <c r="C115" s="87">
        <f t="shared" si="3"/>
        <v>81.303</v>
      </c>
      <c r="D115" s="87">
        <f t="shared" si="3"/>
        <v>63.654300000000006</v>
      </c>
      <c r="E115" s="91" t="s">
        <v>277</v>
      </c>
      <c r="F115" s="89">
        <f>+C115*31</f>
        <v>2520.393</v>
      </c>
      <c r="G115" s="89">
        <f>+D115*31</f>
        <v>1973.2833000000003</v>
      </c>
      <c r="H115" s="89">
        <f aca="true" t="shared" si="4" ref="H115:H126">SUM(F115:G115)</f>
        <v>4493.6763</v>
      </c>
      <c r="I115" s="90">
        <f>+B115*28</f>
        <v>3664.5840000000003</v>
      </c>
      <c r="J115" s="94">
        <f>H115-I115</f>
        <v>829.0922999999998</v>
      </c>
    </row>
    <row r="116" spans="1:10" ht="12.75">
      <c r="A116" s="53" t="s">
        <v>0</v>
      </c>
      <c r="B116" s="87">
        <f t="shared" si="3"/>
        <v>120.96300000000001</v>
      </c>
      <c r="C116" s="87">
        <f t="shared" si="3"/>
        <v>91.218</v>
      </c>
      <c r="D116" s="87">
        <f t="shared" si="3"/>
        <v>60.2832</v>
      </c>
      <c r="E116" s="91" t="s">
        <v>0</v>
      </c>
      <c r="F116" s="89">
        <f>+C116*28</f>
        <v>2554.1040000000003</v>
      </c>
      <c r="G116" s="89">
        <f>+D116*28</f>
        <v>1687.9296</v>
      </c>
      <c r="H116" s="89">
        <f t="shared" si="4"/>
        <v>4242.033600000001</v>
      </c>
      <c r="I116" s="90">
        <f>+B116*28</f>
        <v>3386.9640000000004</v>
      </c>
      <c r="J116" s="94">
        <f aca="true" t="shared" si="5" ref="J116:J127">H116-I116</f>
        <v>855.0696000000003</v>
      </c>
    </row>
    <row r="117" spans="1:10" ht="12.75">
      <c r="A117" s="53" t="s">
        <v>1</v>
      </c>
      <c r="B117" s="87">
        <f aca="true" t="shared" si="6" ref="B117:D126">+B104*1.983</f>
        <v>200.28300000000002</v>
      </c>
      <c r="C117" s="87">
        <f t="shared" si="6"/>
        <v>71.388</v>
      </c>
      <c r="D117" s="87">
        <f t="shared" si="6"/>
        <v>74.95739999999999</v>
      </c>
      <c r="E117" s="91" t="s">
        <v>1</v>
      </c>
      <c r="F117" s="89">
        <f>+C117*31</f>
        <v>2213.0280000000002</v>
      </c>
      <c r="G117" s="89">
        <f>+D117*31</f>
        <v>2323.6794</v>
      </c>
      <c r="H117" s="89">
        <f t="shared" si="4"/>
        <v>4536.7074</v>
      </c>
      <c r="I117" s="90">
        <f>+B117*31</f>
        <v>6208.773</v>
      </c>
      <c r="J117" s="94">
        <f t="shared" si="5"/>
        <v>-1672.0656</v>
      </c>
    </row>
    <row r="118" spans="1:10" ht="12.75">
      <c r="A118" s="53" t="s">
        <v>2</v>
      </c>
      <c r="B118" s="87">
        <f t="shared" si="6"/>
        <v>444.192</v>
      </c>
      <c r="C118" s="87">
        <f t="shared" si="6"/>
        <v>99.15</v>
      </c>
      <c r="D118" s="87">
        <f t="shared" si="6"/>
        <v>364.872</v>
      </c>
      <c r="E118" s="91" t="s">
        <v>2</v>
      </c>
      <c r="F118" s="89">
        <f>+C118*30</f>
        <v>2974.5</v>
      </c>
      <c r="G118" s="89">
        <f>+D118*30</f>
        <v>10946.16</v>
      </c>
      <c r="H118" s="89">
        <f t="shared" si="4"/>
        <v>13920.66</v>
      </c>
      <c r="I118" s="90">
        <f>+B118*30</f>
        <v>13325.76</v>
      </c>
      <c r="J118" s="94">
        <f t="shared" si="5"/>
        <v>594.8999999999996</v>
      </c>
    </row>
    <row r="119" spans="1:10" ht="12.75">
      <c r="A119" s="53" t="s">
        <v>3</v>
      </c>
      <c r="B119" s="87">
        <f t="shared" si="6"/>
        <v>2320.11</v>
      </c>
      <c r="C119" s="87">
        <f t="shared" si="6"/>
        <v>1352.4060000000002</v>
      </c>
      <c r="D119" s="87">
        <f t="shared" si="6"/>
        <v>652.407</v>
      </c>
      <c r="E119" s="91" t="s">
        <v>3</v>
      </c>
      <c r="F119" s="89">
        <f>+C119*31</f>
        <v>41924.586</v>
      </c>
      <c r="G119" s="89">
        <f>+D119*31</f>
        <v>20224.617000000002</v>
      </c>
      <c r="H119" s="89">
        <f t="shared" si="4"/>
        <v>62149.20300000001</v>
      </c>
      <c r="I119" s="90">
        <f>+B119*31</f>
        <v>71923.41</v>
      </c>
      <c r="J119" s="94">
        <f t="shared" si="5"/>
        <v>-9774.206999999995</v>
      </c>
    </row>
    <row r="120" spans="1:10" ht="12.75">
      <c r="A120" s="53" t="s">
        <v>4</v>
      </c>
      <c r="B120" s="87">
        <f t="shared" si="6"/>
        <v>1447.5900000000001</v>
      </c>
      <c r="C120" s="87">
        <f t="shared" si="6"/>
        <v>666.288</v>
      </c>
      <c r="D120" s="87">
        <f t="shared" si="6"/>
        <v>103.116</v>
      </c>
      <c r="E120" s="91" t="s">
        <v>4</v>
      </c>
      <c r="F120" s="89">
        <f>+C120*30</f>
        <v>19988.64</v>
      </c>
      <c r="G120" s="89">
        <f>+D120*30</f>
        <v>3093.48</v>
      </c>
      <c r="H120" s="89">
        <f t="shared" si="4"/>
        <v>23082.12</v>
      </c>
      <c r="I120" s="90">
        <f>+B120*30</f>
        <v>43427.700000000004</v>
      </c>
      <c r="J120" s="94">
        <f t="shared" si="5"/>
        <v>-20345.580000000005</v>
      </c>
    </row>
    <row r="121" spans="1:10" ht="12.75">
      <c r="A121" s="53" t="s">
        <v>5</v>
      </c>
      <c r="B121" s="87">
        <f t="shared" si="6"/>
        <v>470.96250000000003</v>
      </c>
      <c r="C121" s="87">
        <f t="shared" si="6"/>
        <v>782.2935</v>
      </c>
      <c r="D121" s="87">
        <f t="shared" si="6"/>
        <v>71.78460000000001</v>
      </c>
      <c r="E121" s="91" t="s">
        <v>5</v>
      </c>
      <c r="F121" s="89">
        <f>+C121*31</f>
        <v>24251.0985</v>
      </c>
      <c r="G121" s="89">
        <f>+D121*31</f>
        <v>2225.3226000000004</v>
      </c>
      <c r="H121" s="89">
        <f t="shared" si="4"/>
        <v>26476.4211</v>
      </c>
      <c r="I121" s="90">
        <f>+B121*31</f>
        <v>14599.837500000001</v>
      </c>
      <c r="J121" s="94">
        <f t="shared" si="5"/>
        <v>11876.583599999998</v>
      </c>
    </row>
    <row r="122" spans="1:10" ht="12.75">
      <c r="A122" s="53" t="s">
        <v>6</v>
      </c>
      <c r="B122" s="87">
        <f t="shared" si="6"/>
        <v>966.7125000000001</v>
      </c>
      <c r="C122" s="87">
        <f t="shared" si="6"/>
        <v>1112.463</v>
      </c>
      <c r="D122" s="87">
        <f t="shared" si="6"/>
        <v>121.5579</v>
      </c>
      <c r="E122" s="91" t="s">
        <v>6</v>
      </c>
      <c r="F122" s="89">
        <f>+C122*31</f>
        <v>34486.352999999996</v>
      </c>
      <c r="G122" s="89">
        <f>+D122*31</f>
        <v>3768.2949000000003</v>
      </c>
      <c r="H122" s="89">
        <f t="shared" si="4"/>
        <v>38254.647899999996</v>
      </c>
      <c r="I122" s="90">
        <f>+B122*31</f>
        <v>29968.0875</v>
      </c>
      <c r="J122" s="94">
        <f t="shared" si="5"/>
        <v>8286.560399999995</v>
      </c>
    </row>
    <row r="123" spans="1:10" ht="12.75">
      <c r="A123" s="53" t="s">
        <v>7</v>
      </c>
      <c r="B123" s="87">
        <f t="shared" si="6"/>
        <v>475.92</v>
      </c>
      <c r="C123" s="87">
        <f t="shared" si="6"/>
        <v>405.5235</v>
      </c>
      <c r="D123" s="87">
        <f t="shared" si="6"/>
        <v>8.82435</v>
      </c>
      <c r="E123" s="91" t="s">
        <v>7</v>
      </c>
      <c r="F123" s="89">
        <f>+C123*30</f>
        <v>12165.705</v>
      </c>
      <c r="G123" s="89">
        <f>+D123*30</f>
        <v>264.7305</v>
      </c>
      <c r="H123" s="89">
        <f t="shared" si="4"/>
        <v>12430.4355</v>
      </c>
      <c r="I123" s="90">
        <f>+B123*30</f>
        <v>14277.6</v>
      </c>
      <c r="J123" s="94">
        <f t="shared" si="5"/>
        <v>-1847.1645000000008</v>
      </c>
    </row>
    <row r="124" spans="1:10" ht="12.75">
      <c r="A124" s="53" t="s">
        <v>8</v>
      </c>
      <c r="B124" s="87">
        <f t="shared" si="6"/>
        <v>178.47</v>
      </c>
      <c r="C124" s="87">
        <f t="shared" si="6"/>
        <v>67.422</v>
      </c>
      <c r="D124" s="87">
        <f t="shared" si="6"/>
        <v>15.864</v>
      </c>
      <c r="E124" s="91" t="s">
        <v>8</v>
      </c>
      <c r="F124" s="89">
        <f>+C124*31</f>
        <v>2090.082</v>
      </c>
      <c r="G124" s="89">
        <f>+D124*31</f>
        <v>491.78400000000005</v>
      </c>
      <c r="H124" s="89">
        <f t="shared" si="4"/>
        <v>2581.866</v>
      </c>
      <c r="I124" s="90">
        <f>+B124*31</f>
        <v>5532.57</v>
      </c>
      <c r="J124" s="94">
        <f t="shared" si="5"/>
        <v>-2950.7039999999997</v>
      </c>
    </row>
    <row r="125" spans="1:10" ht="12.75">
      <c r="A125" s="53" t="s">
        <v>9</v>
      </c>
      <c r="B125" s="87">
        <f t="shared" si="6"/>
        <v>59.49</v>
      </c>
      <c r="C125" s="87">
        <f t="shared" si="6"/>
        <v>63.456</v>
      </c>
      <c r="D125" s="87">
        <f t="shared" si="6"/>
        <v>30.339900000000004</v>
      </c>
      <c r="E125" s="91" t="s">
        <v>9</v>
      </c>
      <c r="F125" s="89">
        <f>+C125*30</f>
        <v>1903.68</v>
      </c>
      <c r="G125" s="89">
        <f>+D125*30</f>
        <v>910.1970000000001</v>
      </c>
      <c r="H125" s="89">
        <f t="shared" si="4"/>
        <v>2813.8770000000004</v>
      </c>
      <c r="I125" s="90">
        <f>+B125*30</f>
        <v>1784.7</v>
      </c>
      <c r="J125" s="94">
        <f t="shared" si="5"/>
        <v>1029.1770000000004</v>
      </c>
    </row>
    <row r="126" spans="1:10" ht="12.75">
      <c r="A126" s="53" t="s">
        <v>10</v>
      </c>
      <c r="B126" s="87">
        <f t="shared" si="6"/>
        <v>19.830000000000002</v>
      </c>
      <c r="C126" s="87">
        <f t="shared" si="6"/>
        <v>120.96300000000001</v>
      </c>
      <c r="D126" s="87">
        <f t="shared" si="6"/>
        <v>23.597700000000003</v>
      </c>
      <c r="E126" s="91" t="s">
        <v>10</v>
      </c>
      <c r="F126" s="89">
        <f>+C126*31</f>
        <v>3749.853</v>
      </c>
      <c r="G126" s="89">
        <f>+D126*31</f>
        <v>731.5287000000001</v>
      </c>
      <c r="H126" s="89">
        <f t="shared" si="4"/>
        <v>4481.3817</v>
      </c>
      <c r="I126" s="90">
        <f>+B126*31</f>
        <v>614.73</v>
      </c>
      <c r="J126" s="94">
        <f t="shared" si="5"/>
        <v>3866.6517</v>
      </c>
    </row>
    <row r="127" spans="2:10" ht="12.75">
      <c r="B127" s="88"/>
      <c r="C127" s="88"/>
      <c r="D127" s="88"/>
      <c r="E127" s="93" t="s">
        <v>289</v>
      </c>
      <c r="F127" s="90">
        <f>SUM(F115:F126)</f>
        <v>150822.0225</v>
      </c>
      <c r="G127" s="90">
        <f>SUM(G115:G126)</f>
        <v>48641.007000000005</v>
      </c>
      <c r="H127" s="90">
        <f>SUM(H115:H126)</f>
        <v>199463.0295</v>
      </c>
      <c r="I127" s="90">
        <f>SUM(I115:I126)</f>
        <v>208714.71600000004</v>
      </c>
      <c r="J127" s="94">
        <f t="shared" si="5"/>
        <v>-9251.68650000004</v>
      </c>
    </row>
    <row r="128" spans="2:10" ht="12.75">
      <c r="B128" s="4"/>
      <c r="C128" s="4"/>
      <c r="D128" s="4"/>
      <c r="E128" s="92" t="s">
        <v>293</v>
      </c>
      <c r="F128" s="95">
        <f>F127/H127</f>
        <v>0.7561402375070213</v>
      </c>
      <c r="G128" s="95">
        <f>G127/H127</f>
        <v>0.2438597624929787</v>
      </c>
      <c r="H128" s="4"/>
      <c r="I128" s="4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</sheetData>
  <mergeCells count="8">
    <mergeCell ref="E110:J110"/>
    <mergeCell ref="E112:E114"/>
    <mergeCell ref="F112:F113"/>
    <mergeCell ref="G112:G113"/>
    <mergeCell ref="H112:H113"/>
    <mergeCell ref="I112:I113"/>
    <mergeCell ref="J112:J113"/>
    <mergeCell ref="F114:J114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25">
      <selection activeCell="A32" sqref="A32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17</v>
      </c>
      <c r="B1" s="1" t="s">
        <v>41</v>
      </c>
      <c r="C1">
        <v>12.3</v>
      </c>
    </row>
    <row r="2" spans="1:11" ht="12.75">
      <c r="A2" t="s">
        <v>33</v>
      </c>
      <c r="B2" s="1" t="s">
        <v>41</v>
      </c>
      <c r="C2">
        <v>4.01</v>
      </c>
      <c r="K2" s="6"/>
    </row>
    <row r="3" spans="1:13" ht="12.75">
      <c r="A3" t="s">
        <v>35</v>
      </c>
      <c r="B3" s="1" t="s">
        <v>42</v>
      </c>
      <c r="C3">
        <v>2.63</v>
      </c>
      <c r="K3" s="266"/>
      <c r="L3" s="266"/>
      <c r="M3" s="266"/>
    </row>
    <row r="5" ht="12.75">
      <c r="A5" t="s">
        <v>67</v>
      </c>
    </row>
    <row r="6" spans="1:2" ht="12.75">
      <c r="A6" t="s">
        <v>68</v>
      </c>
      <c r="B6">
        <f>+LN(C3)</f>
        <v>0.9669838461896731</v>
      </c>
    </row>
    <row r="7" spans="2:3" ht="12.75">
      <c r="B7">
        <f>20+(14.42*B6)</f>
        <v>33.94390706205509</v>
      </c>
      <c r="C7" t="s">
        <v>71</v>
      </c>
    </row>
    <row r="8" spans="1:2" ht="12.75">
      <c r="A8" t="s">
        <v>69</v>
      </c>
      <c r="B8">
        <f>+LN(C2)</f>
        <v>1.3887912413184778</v>
      </c>
    </row>
    <row r="9" spans="2:3" ht="12.75">
      <c r="B9">
        <f>+(9.81*B8)+30.6</f>
        <v>44.22404207733427</v>
      </c>
      <c r="C9" t="s">
        <v>71</v>
      </c>
    </row>
    <row r="10" spans="1:2" ht="12.75">
      <c r="A10" t="s">
        <v>70</v>
      </c>
      <c r="B10">
        <f>+LN(C1)</f>
        <v>2.509599262378372</v>
      </c>
    </row>
    <row r="11" spans="2:3" ht="12.75">
      <c r="B11">
        <f>+(14.42*B10)+4.15</f>
        <v>40.338421363496124</v>
      </c>
      <c r="C11" t="s">
        <v>71</v>
      </c>
    </row>
    <row r="13" ht="12.75">
      <c r="A13" t="s">
        <v>72</v>
      </c>
    </row>
    <row r="14" spans="1:2" ht="12.75">
      <c r="A14" t="s">
        <v>73</v>
      </c>
      <c r="B14">
        <f>+LN(C2)</f>
        <v>1.3887912413184778</v>
      </c>
    </row>
    <row r="15" spans="2:3" ht="12.75">
      <c r="B15">
        <f>20+(14.42*B14)</f>
        <v>40.02636969981245</v>
      </c>
      <c r="C15" t="s">
        <v>71</v>
      </c>
    </row>
    <row r="16" spans="1:2" ht="12.75">
      <c r="A16" t="s">
        <v>74</v>
      </c>
      <c r="B16">
        <f>+LN(C1)</f>
        <v>2.509599262378372</v>
      </c>
    </row>
    <row r="17" spans="2:3" ht="12.75">
      <c r="B17">
        <f>20.02*B16</f>
        <v>50.24217723281501</v>
      </c>
      <c r="C17" t="s">
        <v>76</v>
      </c>
    </row>
    <row r="18" spans="1:2" ht="12.75">
      <c r="A18" t="s">
        <v>75</v>
      </c>
      <c r="B18">
        <f>+LN(1/C3-0.08)</f>
        <v>-1.2032126370525384</v>
      </c>
    </row>
    <row r="19" spans="2:3" ht="12.75">
      <c r="B19">
        <f>75.34+(19.46*B18)</f>
        <v>51.9254820829576</v>
      </c>
      <c r="C19" t="s">
        <v>76</v>
      </c>
    </row>
    <row r="22" spans="2:7" ht="12.75">
      <c r="B22" t="s">
        <v>388</v>
      </c>
      <c r="C22" s="267" t="s">
        <v>393</v>
      </c>
      <c r="D22" s="267"/>
      <c r="E22" s="267"/>
      <c r="F22" s="267"/>
      <c r="G22" t="s">
        <v>399</v>
      </c>
    </row>
    <row r="23" spans="2:7" ht="12.75">
      <c r="B23" t="s">
        <v>389</v>
      </c>
      <c r="C23" t="s">
        <v>390</v>
      </c>
      <c r="D23" t="s">
        <v>391</v>
      </c>
      <c r="E23" t="s">
        <v>392</v>
      </c>
      <c r="G23" s="120">
        <v>18880</v>
      </c>
    </row>
    <row r="24" spans="2:7" ht="12.75">
      <c r="B24">
        <v>100000</v>
      </c>
      <c r="C24">
        <v>22600</v>
      </c>
      <c r="D24" s="120">
        <f aca="true" t="shared" si="0" ref="D24:D30">C24+G$23</f>
        <v>41480</v>
      </c>
      <c r="E24">
        <f aca="true" t="shared" si="1" ref="E24:E30">C24-G$27</f>
        <v>14930</v>
      </c>
      <c r="G24" s="120"/>
    </row>
    <row r="25" spans="2:5" ht="12.75">
      <c r="B25">
        <v>200000</v>
      </c>
      <c r="C25">
        <v>45210</v>
      </c>
      <c r="D25" s="120">
        <f t="shared" si="0"/>
        <v>64090</v>
      </c>
      <c r="E25">
        <f t="shared" si="1"/>
        <v>37540</v>
      </c>
    </row>
    <row r="26" spans="2:7" ht="12.75">
      <c r="B26">
        <v>261000</v>
      </c>
      <c r="C26">
        <v>59000</v>
      </c>
      <c r="D26" s="120">
        <f t="shared" si="0"/>
        <v>77880</v>
      </c>
      <c r="E26">
        <f t="shared" si="1"/>
        <v>51330</v>
      </c>
      <c r="G26" t="s">
        <v>400</v>
      </c>
    </row>
    <row r="27" spans="2:7" ht="12.75">
      <c r="B27">
        <v>275000</v>
      </c>
      <c r="C27">
        <v>62160</v>
      </c>
      <c r="D27" s="120">
        <f t="shared" si="0"/>
        <v>81040</v>
      </c>
      <c r="E27">
        <f t="shared" si="1"/>
        <v>54490</v>
      </c>
      <c r="G27">
        <v>7670</v>
      </c>
    </row>
    <row r="28" spans="2:5" ht="12.75">
      <c r="B28">
        <v>300000</v>
      </c>
      <c r="C28">
        <v>67820</v>
      </c>
      <c r="D28" s="120">
        <f t="shared" si="0"/>
        <v>86700</v>
      </c>
      <c r="E28">
        <f t="shared" si="1"/>
        <v>60150</v>
      </c>
    </row>
    <row r="29" spans="2:5" ht="12.75">
      <c r="B29">
        <v>350000</v>
      </c>
      <c r="C29">
        <v>79120</v>
      </c>
      <c r="D29" s="120">
        <f t="shared" si="0"/>
        <v>98000</v>
      </c>
      <c r="E29">
        <f t="shared" si="1"/>
        <v>71450</v>
      </c>
    </row>
    <row r="30" spans="2:5" ht="12.75">
      <c r="B30">
        <v>400000</v>
      </c>
      <c r="C30">
        <v>90425</v>
      </c>
      <c r="D30" s="120">
        <f t="shared" si="0"/>
        <v>109305</v>
      </c>
      <c r="E30">
        <f t="shared" si="1"/>
        <v>82755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60"/>
  <sheetViews>
    <sheetView workbookViewId="0" topLeftCell="A19">
      <selection activeCell="A4" sqref="A4"/>
    </sheetView>
  </sheetViews>
  <sheetFormatPr defaultColWidth="9.140625" defaultRowHeight="12.75"/>
  <cols>
    <col min="1" max="1" width="9.140625" style="26" customWidth="1"/>
    <col min="2" max="2" width="8.7109375" style="26" customWidth="1"/>
    <col min="3" max="3" width="10.7109375" style="26" customWidth="1"/>
    <col min="4" max="4" width="10.421875" style="26" customWidth="1"/>
    <col min="5" max="5" width="11.28125" style="26" customWidth="1"/>
    <col min="6" max="7" width="7.8515625" style="26" customWidth="1"/>
    <col min="8" max="8" width="10.421875" style="26" bestFit="1" customWidth="1"/>
    <col min="9" max="9" width="6.140625" style="26" customWidth="1"/>
    <col min="10" max="10" width="8.8515625" style="26" customWidth="1"/>
    <col min="11" max="11" width="7.8515625" style="26" customWidth="1"/>
    <col min="12" max="12" width="11.28125" style="26" bestFit="1" customWidth="1"/>
    <col min="13" max="13" width="7.8515625" style="26" bestFit="1" customWidth="1"/>
    <col min="14" max="15" width="9.00390625" style="26" customWidth="1"/>
    <col min="16" max="17" width="8.7109375" style="26" customWidth="1"/>
    <col min="18" max="18" width="11.8515625" style="26" bestFit="1" customWidth="1"/>
    <col min="19" max="19" width="11.421875" style="26" bestFit="1" customWidth="1"/>
    <col min="20" max="20" width="9.57421875" style="26" bestFit="1" customWidth="1"/>
    <col min="21" max="21" width="7.7109375" style="26" customWidth="1"/>
    <col min="22" max="24" width="9.28125" style="26" bestFit="1" customWidth="1"/>
    <col min="25" max="25" width="11.28125" style="26" bestFit="1" customWidth="1"/>
    <col min="26" max="28" width="9.28125" style="26" bestFit="1" customWidth="1"/>
    <col min="29" max="29" width="10.140625" style="26" bestFit="1" customWidth="1"/>
    <col min="30" max="30" width="10.28125" style="26" bestFit="1" customWidth="1"/>
    <col min="31" max="35" width="9.28125" style="26" bestFit="1" customWidth="1"/>
    <col min="36" max="36" width="8.421875" style="26" customWidth="1"/>
    <col min="37" max="37" width="10.8515625" style="26" bestFit="1" customWidth="1"/>
    <col min="38" max="38" width="13.00390625" style="26" bestFit="1" customWidth="1"/>
    <col min="39" max="39" width="13.57421875" style="26" bestFit="1" customWidth="1"/>
    <col min="40" max="16384" width="9.140625" style="26" customWidth="1"/>
  </cols>
  <sheetData>
    <row r="1" spans="2:45" ht="1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37"/>
      <c r="N1" s="25"/>
      <c r="O1" s="37"/>
      <c r="P1" s="37"/>
      <c r="Q1" s="37"/>
      <c r="R1" s="37"/>
      <c r="S1" s="37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S1" s="38"/>
    </row>
    <row r="2" spans="2:45" ht="12">
      <c r="B2" s="25"/>
      <c r="C2" s="25"/>
      <c r="D2" s="11"/>
      <c r="E2" s="25"/>
      <c r="F2" s="25"/>
      <c r="G2" s="25"/>
      <c r="AN2" s="39"/>
      <c r="AO2" s="39"/>
      <c r="AP2" s="39"/>
      <c r="AQ2" s="39"/>
      <c r="AR2" s="39"/>
      <c r="AS2" s="39"/>
    </row>
    <row r="3" spans="2:45" ht="12">
      <c r="B3" s="11"/>
      <c r="C3" s="25"/>
      <c r="D3" s="11" t="s">
        <v>165</v>
      </c>
      <c r="E3" s="25"/>
      <c r="F3" s="11"/>
      <c r="G3" s="25"/>
      <c r="AN3" s="21"/>
      <c r="AO3" s="21"/>
      <c r="AP3" s="21"/>
      <c r="AQ3" s="21"/>
      <c r="AR3" s="21"/>
      <c r="AS3" s="21"/>
    </row>
    <row r="4" spans="2:45" ht="12">
      <c r="B4" s="11" t="s">
        <v>21</v>
      </c>
      <c r="C4" s="11" t="s">
        <v>30</v>
      </c>
      <c r="D4" s="11" t="s">
        <v>166</v>
      </c>
      <c r="E4" s="11" t="s">
        <v>169</v>
      </c>
      <c r="F4" s="11" t="s">
        <v>170</v>
      </c>
      <c r="G4" s="11" t="s">
        <v>171</v>
      </c>
      <c r="H4" s="11" t="s">
        <v>172</v>
      </c>
      <c r="I4" s="11" t="s">
        <v>173</v>
      </c>
      <c r="J4" s="11" t="s">
        <v>20</v>
      </c>
      <c r="AN4" s="21"/>
      <c r="AO4" s="21"/>
      <c r="AP4" s="21"/>
      <c r="AQ4" s="21"/>
      <c r="AR4" s="21"/>
      <c r="AS4" s="21"/>
    </row>
    <row r="5" spans="1:45" ht="13.5" customHeight="1">
      <c r="A5" s="40" t="s">
        <v>77</v>
      </c>
      <c r="B5" s="42" t="s">
        <v>161</v>
      </c>
      <c r="C5" s="43" t="s">
        <v>167</v>
      </c>
      <c r="D5" s="43" t="s">
        <v>168</v>
      </c>
      <c r="E5" s="43" t="s">
        <v>155</v>
      </c>
      <c r="F5" s="43" t="s">
        <v>156</v>
      </c>
      <c r="G5" s="43" t="s">
        <v>157</v>
      </c>
      <c r="H5" s="43" t="s">
        <v>156</v>
      </c>
      <c r="I5" s="43" t="s">
        <v>156</v>
      </c>
      <c r="J5" s="43" t="s">
        <v>158</v>
      </c>
      <c r="AN5" s="21"/>
      <c r="AO5" s="21"/>
      <c r="AP5" s="21"/>
      <c r="AQ5" s="21"/>
      <c r="AR5" s="21"/>
      <c r="AS5" s="21"/>
    </row>
    <row r="6" spans="1:45" ht="12">
      <c r="A6" s="26" t="s">
        <v>11</v>
      </c>
      <c r="B6" s="26" t="s">
        <v>90</v>
      </c>
      <c r="C6" s="26" t="s">
        <v>90</v>
      </c>
      <c r="D6" s="26" t="s">
        <v>90</v>
      </c>
      <c r="E6" s="26" t="s">
        <v>90</v>
      </c>
      <c r="F6" s="26" t="s">
        <v>90</v>
      </c>
      <c r="G6" s="26" t="s">
        <v>90</v>
      </c>
      <c r="H6" s="26" t="s">
        <v>90</v>
      </c>
      <c r="I6" s="26" t="s">
        <v>90</v>
      </c>
      <c r="J6" s="26" t="s">
        <v>90</v>
      </c>
      <c r="AN6" s="39"/>
      <c r="AO6" s="39"/>
      <c r="AP6" s="39"/>
      <c r="AQ6" s="39"/>
      <c r="AR6" s="39"/>
      <c r="AS6" s="39"/>
    </row>
    <row r="7" spans="1:10" ht="12">
      <c r="A7" s="26" t="s">
        <v>12</v>
      </c>
      <c r="B7" s="26" t="s">
        <v>90</v>
      </c>
      <c r="C7" s="26" t="s">
        <v>90</v>
      </c>
      <c r="D7" s="41" t="s">
        <v>90</v>
      </c>
      <c r="E7" s="26" t="s">
        <v>90</v>
      </c>
      <c r="F7" s="26" t="s">
        <v>90</v>
      </c>
      <c r="G7" s="26" t="s">
        <v>90</v>
      </c>
      <c r="H7" s="26" t="s">
        <v>90</v>
      </c>
      <c r="I7" s="26" t="s">
        <v>90</v>
      </c>
      <c r="J7" s="26" t="s">
        <v>90</v>
      </c>
    </row>
    <row r="8" spans="1:10" ht="12">
      <c r="A8" s="26" t="s">
        <v>13</v>
      </c>
      <c r="B8" s="26" t="s">
        <v>90</v>
      </c>
      <c r="C8" s="26" t="s">
        <v>90</v>
      </c>
      <c r="D8" s="41" t="s">
        <v>90</v>
      </c>
      <c r="E8" s="26" t="s">
        <v>90</v>
      </c>
      <c r="F8" s="26" t="s">
        <v>90</v>
      </c>
      <c r="G8" s="26" t="s">
        <v>90</v>
      </c>
      <c r="H8" s="26" t="s">
        <v>90</v>
      </c>
      <c r="I8" s="26" t="s">
        <v>90</v>
      </c>
      <c r="J8" s="26" t="s">
        <v>90</v>
      </c>
    </row>
    <row r="9" spans="1:10" ht="12">
      <c r="A9" s="26" t="s">
        <v>19</v>
      </c>
      <c r="C9" s="26" t="s">
        <v>90</v>
      </c>
      <c r="D9" s="26" t="s">
        <v>90</v>
      </c>
      <c r="E9" s="26" t="s">
        <v>90</v>
      </c>
      <c r="F9" s="26" t="s">
        <v>90</v>
      </c>
      <c r="G9" s="26" t="s">
        <v>90</v>
      </c>
      <c r="I9" s="26" t="s">
        <v>90</v>
      </c>
      <c r="J9" s="26" t="s">
        <v>90</v>
      </c>
    </row>
    <row r="10" spans="1:10" ht="12">
      <c r="A10" s="26" t="s">
        <v>14</v>
      </c>
      <c r="B10" s="26" t="s">
        <v>90</v>
      </c>
      <c r="C10" s="26" t="s">
        <v>90</v>
      </c>
      <c r="D10" s="26" t="s">
        <v>90</v>
      </c>
      <c r="E10" s="26" t="s">
        <v>90</v>
      </c>
      <c r="F10" s="26" t="s">
        <v>90</v>
      </c>
      <c r="G10" s="26" t="s">
        <v>90</v>
      </c>
      <c r="H10" s="26" t="s">
        <v>90</v>
      </c>
      <c r="I10" s="26" t="s">
        <v>90</v>
      </c>
      <c r="J10" s="26" t="s">
        <v>90</v>
      </c>
    </row>
    <row r="11" spans="1:10" ht="12">
      <c r="A11" s="26" t="s">
        <v>101</v>
      </c>
      <c r="C11" s="26" t="s">
        <v>90</v>
      </c>
      <c r="D11" s="26" t="s">
        <v>90</v>
      </c>
      <c r="E11" s="26" t="s">
        <v>90</v>
      </c>
      <c r="F11" s="26" t="s">
        <v>90</v>
      </c>
      <c r="G11" s="26" t="s">
        <v>90</v>
      </c>
      <c r="H11" s="26" t="s">
        <v>90</v>
      </c>
      <c r="I11" s="26" t="s">
        <v>90</v>
      </c>
      <c r="J11" s="26" t="s">
        <v>90</v>
      </c>
    </row>
    <row r="12" spans="4:26" s="25" customFormat="1" ht="11.25">
      <c r="D12" s="11"/>
      <c r="S12" s="11"/>
      <c r="T12" s="11" t="s">
        <v>154</v>
      </c>
      <c r="U12" s="11"/>
      <c r="V12" s="11"/>
      <c r="W12" s="11"/>
      <c r="X12" s="11"/>
      <c r="Y12" s="11"/>
      <c r="Z12" s="11"/>
    </row>
    <row r="13" spans="1:43" s="25" customFormat="1" ht="11.25">
      <c r="A13" s="13"/>
      <c r="B13" s="11" t="s">
        <v>174</v>
      </c>
      <c r="C13" s="11" t="s">
        <v>140</v>
      </c>
      <c r="D13" s="11" t="s">
        <v>175</v>
      </c>
      <c r="E13" s="11" t="s">
        <v>176</v>
      </c>
      <c r="F13" s="11" t="s">
        <v>177</v>
      </c>
      <c r="G13" s="11" t="s">
        <v>178</v>
      </c>
      <c r="H13" s="11" t="s">
        <v>179</v>
      </c>
      <c r="I13" s="11" t="s">
        <v>180</v>
      </c>
      <c r="J13" s="11" t="s">
        <v>143</v>
      </c>
      <c r="AH13" s="13"/>
      <c r="AI13" s="13"/>
      <c r="AN13" s="11"/>
      <c r="AO13" s="11"/>
      <c r="AP13" s="11"/>
      <c r="AQ13" s="11"/>
    </row>
    <row r="14" spans="1:35" ht="12">
      <c r="A14" s="40" t="s">
        <v>77</v>
      </c>
      <c r="B14" s="43" t="s">
        <v>156</v>
      </c>
      <c r="C14" s="43" t="s">
        <v>100</v>
      </c>
      <c r="D14" s="43" t="s">
        <v>159</v>
      </c>
      <c r="E14" s="43" t="s">
        <v>159</v>
      </c>
      <c r="F14" s="43" t="s">
        <v>159</v>
      </c>
      <c r="G14" s="43" t="s">
        <v>156</v>
      </c>
      <c r="H14" s="43" t="s">
        <v>156</v>
      </c>
      <c r="I14" s="44" t="s">
        <v>160</v>
      </c>
      <c r="J14" s="43" t="s">
        <v>160</v>
      </c>
      <c r="AH14" s="39"/>
      <c r="AI14" s="39"/>
    </row>
    <row r="15" spans="1:35" ht="12">
      <c r="A15" s="26" t="s">
        <v>11</v>
      </c>
      <c r="B15" s="26" t="s">
        <v>90</v>
      </c>
      <c r="C15" s="26" t="s">
        <v>90</v>
      </c>
      <c r="D15" s="26" t="s">
        <v>90</v>
      </c>
      <c r="E15" s="26" t="s">
        <v>90</v>
      </c>
      <c r="F15" s="26" t="s">
        <v>90</v>
      </c>
      <c r="G15" s="26" t="s">
        <v>90</v>
      </c>
      <c r="H15" s="26" t="s">
        <v>90</v>
      </c>
      <c r="I15" s="26" t="s">
        <v>90</v>
      </c>
      <c r="J15" s="26" t="s">
        <v>90</v>
      </c>
      <c r="AH15" s="39"/>
      <c r="AI15" s="39"/>
    </row>
    <row r="16" spans="1:10" ht="12">
      <c r="A16" s="26" t="s">
        <v>12</v>
      </c>
      <c r="B16" s="26" t="s">
        <v>90</v>
      </c>
      <c r="C16" s="26" t="s">
        <v>90</v>
      </c>
      <c r="D16" s="26" t="s">
        <v>90</v>
      </c>
      <c r="E16" s="26" t="s">
        <v>90</v>
      </c>
      <c r="F16" s="26" t="s">
        <v>90</v>
      </c>
      <c r="G16" s="26" t="s">
        <v>90</v>
      </c>
      <c r="H16" s="26" t="s">
        <v>90</v>
      </c>
      <c r="I16" s="26" t="s">
        <v>90</v>
      </c>
      <c r="J16" s="26" t="s">
        <v>90</v>
      </c>
    </row>
    <row r="17" spans="1:10" ht="12">
      <c r="A17" s="26" t="s">
        <v>13</v>
      </c>
      <c r="B17" s="26" t="s">
        <v>90</v>
      </c>
      <c r="C17" s="26" t="s">
        <v>90</v>
      </c>
      <c r="D17" s="26" t="s">
        <v>90</v>
      </c>
      <c r="E17" s="26" t="s">
        <v>90</v>
      </c>
      <c r="F17" s="26" t="s">
        <v>90</v>
      </c>
      <c r="G17" s="26" t="s">
        <v>90</v>
      </c>
      <c r="H17" s="26" t="s">
        <v>90</v>
      </c>
      <c r="I17" s="26" t="s">
        <v>90</v>
      </c>
      <c r="J17" s="26" t="s">
        <v>90</v>
      </c>
    </row>
    <row r="18" spans="1:10" ht="12">
      <c r="A18" s="26" t="s">
        <v>19</v>
      </c>
      <c r="C18" s="26" t="s">
        <v>90</v>
      </c>
      <c r="D18" s="26" t="s">
        <v>90</v>
      </c>
      <c r="E18" s="26" t="s">
        <v>90</v>
      </c>
      <c r="F18" s="26" t="s">
        <v>90</v>
      </c>
      <c r="G18" s="26" t="s">
        <v>90</v>
      </c>
      <c r="I18" s="26" t="s">
        <v>90</v>
      </c>
      <c r="J18" s="26" t="s">
        <v>90</v>
      </c>
    </row>
    <row r="19" spans="1:10" ht="12">
      <c r="A19" s="26" t="s">
        <v>14</v>
      </c>
      <c r="B19" s="26" t="s">
        <v>90</v>
      </c>
      <c r="C19" s="26" t="s">
        <v>90</v>
      </c>
      <c r="D19" s="26" t="s">
        <v>90</v>
      </c>
      <c r="E19" s="26" t="s">
        <v>90</v>
      </c>
      <c r="F19" s="26" t="s">
        <v>90</v>
      </c>
      <c r="G19" s="26" t="s">
        <v>90</v>
      </c>
      <c r="H19" s="26" t="s">
        <v>90</v>
      </c>
      <c r="I19" s="26" t="s">
        <v>90</v>
      </c>
      <c r="J19" s="26" t="s">
        <v>90</v>
      </c>
    </row>
    <row r="20" spans="1:10" ht="12">
      <c r="A20" s="26" t="s">
        <v>101</v>
      </c>
      <c r="B20" s="26" t="s">
        <v>90</v>
      </c>
      <c r="C20" s="26" t="s">
        <v>90</v>
      </c>
      <c r="D20" s="26" t="s">
        <v>90</v>
      </c>
      <c r="I20" s="26" t="s">
        <v>90</v>
      </c>
      <c r="J20" s="26" t="s">
        <v>90</v>
      </c>
    </row>
    <row r="21" spans="2:7" ht="12">
      <c r="B21" s="11"/>
      <c r="C21" s="11"/>
      <c r="D21" s="11"/>
      <c r="E21" s="11"/>
      <c r="F21" s="11"/>
      <c r="G21" s="11"/>
    </row>
    <row r="22" spans="2:11" ht="12">
      <c r="B22" s="11" t="s">
        <v>18</v>
      </c>
      <c r="C22" s="11" t="s">
        <v>181</v>
      </c>
      <c r="D22" s="11" t="s">
        <v>182</v>
      </c>
      <c r="E22" s="11" t="s">
        <v>183</v>
      </c>
      <c r="F22" s="11" t="s">
        <v>184</v>
      </c>
      <c r="G22" s="11" t="s">
        <v>185</v>
      </c>
      <c r="H22" s="11" t="s">
        <v>186</v>
      </c>
      <c r="I22" s="11" t="s">
        <v>187</v>
      </c>
      <c r="J22" s="11" t="s">
        <v>188</v>
      </c>
      <c r="K22" s="11" t="s">
        <v>189</v>
      </c>
    </row>
    <row r="23" spans="1:11" ht="12">
      <c r="A23" s="40" t="s">
        <v>77</v>
      </c>
      <c r="B23" s="43" t="s">
        <v>163</v>
      </c>
      <c r="C23" s="43" t="s">
        <v>156</v>
      </c>
      <c r="D23" s="43" t="s">
        <v>156</v>
      </c>
      <c r="E23" s="43" t="s">
        <v>156</v>
      </c>
      <c r="F23" s="43" t="s">
        <v>156</v>
      </c>
      <c r="G23" s="43" t="s">
        <v>156</v>
      </c>
      <c r="H23" s="43" t="s">
        <v>156</v>
      </c>
      <c r="I23" s="43" t="s">
        <v>156</v>
      </c>
      <c r="J23" s="43" t="s">
        <v>156</v>
      </c>
      <c r="K23" s="43" t="s">
        <v>156</v>
      </c>
    </row>
    <row r="24" spans="1:11" ht="12">
      <c r="A24" s="26" t="s">
        <v>11</v>
      </c>
      <c r="B24" s="26" t="s">
        <v>90</v>
      </c>
      <c r="C24" s="26" t="s">
        <v>90</v>
      </c>
      <c r="D24" s="26" t="s">
        <v>90</v>
      </c>
      <c r="E24" s="26" t="s">
        <v>90</v>
      </c>
      <c r="F24" s="26" t="s">
        <v>90</v>
      </c>
      <c r="G24" s="26" t="s">
        <v>90</v>
      </c>
      <c r="H24" s="26" t="s">
        <v>90</v>
      </c>
      <c r="I24" s="26" t="s">
        <v>90</v>
      </c>
      <c r="J24" s="26" t="s">
        <v>90</v>
      </c>
      <c r="K24" s="26" t="s">
        <v>90</v>
      </c>
    </row>
    <row r="25" spans="1:11" ht="12">
      <c r="A25" s="26" t="s">
        <v>12</v>
      </c>
      <c r="B25" s="15" t="s">
        <v>90</v>
      </c>
      <c r="C25" s="15" t="s">
        <v>90</v>
      </c>
      <c r="D25" s="26" t="s">
        <v>90</v>
      </c>
      <c r="E25" s="26" t="s">
        <v>90</v>
      </c>
      <c r="F25" s="26" t="s">
        <v>90</v>
      </c>
      <c r="G25" s="15" t="s">
        <v>90</v>
      </c>
      <c r="H25" s="15" t="s">
        <v>90</v>
      </c>
      <c r="I25" s="26" t="s">
        <v>90</v>
      </c>
      <c r="J25" s="26" t="s">
        <v>90</v>
      </c>
      <c r="K25" s="26" t="s">
        <v>90</v>
      </c>
    </row>
    <row r="26" spans="1:11" ht="12">
      <c r="A26" s="26" t="s">
        <v>13</v>
      </c>
      <c r="B26" s="15" t="s">
        <v>90</v>
      </c>
      <c r="C26" s="15" t="s">
        <v>90</v>
      </c>
      <c r="D26" s="26" t="s">
        <v>90</v>
      </c>
      <c r="E26" s="26" t="s">
        <v>90</v>
      </c>
      <c r="F26" s="26" t="s">
        <v>90</v>
      </c>
      <c r="G26" s="15" t="s">
        <v>90</v>
      </c>
      <c r="H26" s="15" t="s">
        <v>90</v>
      </c>
      <c r="I26" s="26" t="s">
        <v>90</v>
      </c>
      <c r="J26" s="26" t="s">
        <v>90</v>
      </c>
      <c r="K26" s="26" t="s">
        <v>90</v>
      </c>
    </row>
    <row r="27" spans="1:11" ht="12">
      <c r="A27" s="26" t="s">
        <v>19</v>
      </c>
      <c r="B27" s="26" t="s">
        <v>90</v>
      </c>
      <c r="D27" s="26" t="s">
        <v>90</v>
      </c>
      <c r="E27" s="26" t="s">
        <v>90</v>
      </c>
      <c r="F27" s="26" t="s">
        <v>90</v>
      </c>
      <c r="J27" s="26" t="s">
        <v>90</v>
      </c>
      <c r="K27" s="26" t="s">
        <v>90</v>
      </c>
    </row>
    <row r="28" spans="1:2" ht="12">
      <c r="A28" s="26" t="s">
        <v>14</v>
      </c>
      <c r="B28" s="26" t="s">
        <v>90</v>
      </c>
    </row>
    <row r="29" spans="1:11" ht="12">
      <c r="A29" s="26" t="s">
        <v>101</v>
      </c>
      <c r="B29" s="26" t="s">
        <v>90</v>
      </c>
      <c r="C29" s="26" t="s">
        <v>90</v>
      </c>
      <c r="D29" s="26" t="s">
        <v>90</v>
      </c>
      <c r="E29" s="26" t="s">
        <v>90</v>
      </c>
      <c r="F29" s="26" t="s">
        <v>90</v>
      </c>
      <c r="G29" s="26" t="s">
        <v>90</v>
      </c>
      <c r="H29" s="26" t="s">
        <v>90</v>
      </c>
      <c r="I29" s="26" t="s">
        <v>90</v>
      </c>
      <c r="J29" s="26" t="s">
        <v>90</v>
      </c>
      <c r="K29" s="26" t="s">
        <v>90</v>
      </c>
    </row>
    <row r="30" spans="2:10" ht="12">
      <c r="B30" s="11"/>
      <c r="C30" s="11"/>
      <c r="D30" s="13"/>
      <c r="E30" s="13"/>
      <c r="F30" s="13"/>
      <c r="G30" s="13"/>
      <c r="H30" s="13"/>
      <c r="I30" s="13"/>
      <c r="J30" s="13"/>
    </row>
    <row r="31" spans="2:11" ht="12">
      <c r="B31" s="11" t="s">
        <v>190</v>
      </c>
      <c r="C31" s="11" t="s">
        <v>191</v>
      </c>
      <c r="D31" s="11" t="s">
        <v>192</v>
      </c>
      <c r="E31" s="11" t="s">
        <v>193</v>
      </c>
      <c r="F31" s="11" t="s">
        <v>194</v>
      </c>
      <c r="G31" s="11" t="s">
        <v>195</v>
      </c>
      <c r="H31" s="11" t="s">
        <v>196</v>
      </c>
      <c r="I31" s="11" t="s">
        <v>34</v>
      </c>
      <c r="J31" s="11" t="s">
        <v>197</v>
      </c>
      <c r="K31" s="11" t="s">
        <v>198</v>
      </c>
    </row>
    <row r="32" spans="1:11" ht="12">
      <c r="A32" s="40" t="s">
        <v>77</v>
      </c>
      <c r="B32" s="43" t="s">
        <v>156</v>
      </c>
      <c r="C32" s="43" t="s">
        <v>156</v>
      </c>
      <c r="D32" s="43" t="s">
        <v>156</v>
      </c>
      <c r="E32" s="43" t="s">
        <v>156</v>
      </c>
      <c r="F32" s="43" t="s">
        <v>156</v>
      </c>
      <c r="G32" s="43" t="s">
        <v>156</v>
      </c>
      <c r="H32" s="43" t="s">
        <v>162</v>
      </c>
      <c r="I32" s="43" t="s">
        <v>162</v>
      </c>
      <c r="J32" s="43" t="s">
        <v>162</v>
      </c>
      <c r="K32" s="43" t="s">
        <v>164</v>
      </c>
    </row>
    <row r="33" spans="1:7" ht="12">
      <c r="A33" s="26" t="s">
        <v>11</v>
      </c>
      <c r="B33" s="26" t="s">
        <v>90</v>
      </c>
      <c r="C33" s="26" t="s">
        <v>90</v>
      </c>
      <c r="D33" s="26" t="s">
        <v>90</v>
      </c>
      <c r="E33" s="26" t="s">
        <v>90</v>
      </c>
      <c r="F33" s="26" t="s">
        <v>90</v>
      </c>
      <c r="G33" s="26" t="s">
        <v>90</v>
      </c>
    </row>
    <row r="34" spans="1:7" ht="12">
      <c r="A34" s="26" t="s">
        <v>12</v>
      </c>
      <c r="B34" s="26" t="s">
        <v>90</v>
      </c>
      <c r="C34" s="26" t="s">
        <v>90</v>
      </c>
      <c r="D34" s="26" t="s">
        <v>90</v>
      </c>
      <c r="E34" s="26" t="s">
        <v>90</v>
      </c>
      <c r="F34" s="26" t="s">
        <v>90</v>
      </c>
      <c r="G34" s="26" t="s">
        <v>90</v>
      </c>
    </row>
    <row r="35" spans="1:7" ht="12">
      <c r="A35" s="26" t="s">
        <v>13</v>
      </c>
      <c r="B35" s="26" t="s">
        <v>90</v>
      </c>
      <c r="C35" s="26" t="s">
        <v>90</v>
      </c>
      <c r="D35" s="26" t="s">
        <v>90</v>
      </c>
      <c r="E35" s="26" t="s">
        <v>90</v>
      </c>
      <c r="F35" s="26" t="s">
        <v>90</v>
      </c>
      <c r="G35" s="26" t="s">
        <v>90</v>
      </c>
    </row>
    <row r="36" spans="1:5" ht="12">
      <c r="A36" s="26" t="s">
        <v>19</v>
      </c>
      <c r="C36" s="26" t="s">
        <v>90</v>
      </c>
      <c r="E36" s="26" t="s">
        <v>90</v>
      </c>
    </row>
    <row r="37" ht="12">
      <c r="A37" s="26" t="s">
        <v>14</v>
      </c>
    </row>
    <row r="38" spans="1:11" ht="12">
      <c r="A38" s="26" t="s">
        <v>101</v>
      </c>
      <c r="B38" s="26" t="s">
        <v>90</v>
      </c>
      <c r="C38" s="26" t="s">
        <v>90</v>
      </c>
      <c r="D38" s="26" t="s">
        <v>90</v>
      </c>
      <c r="E38" s="26" t="s">
        <v>90</v>
      </c>
      <c r="F38" s="26" t="s">
        <v>90</v>
      </c>
      <c r="G38" s="26" t="s">
        <v>90</v>
      </c>
      <c r="H38" s="26" t="s">
        <v>90</v>
      </c>
      <c r="I38" s="26" t="s">
        <v>90</v>
      </c>
      <c r="J38" s="26" t="s">
        <v>90</v>
      </c>
      <c r="K38" s="26" t="s">
        <v>90</v>
      </c>
    </row>
    <row r="39" spans="5:7" ht="12">
      <c r="E39" s="13"/>
      <c r="F39" s="13"/>
      <c r="G39" s="13"/>
    </row>
    <row r="41" ht="12">
      <c r="A41" s="21"/>
    </row>
    <row r="42" ht="12">
      <c r="A42" s="39"/>
    </row>
    <row r="43" ht="12">
      <c r="A43" s="39"/>
    </row>
    <row r="44" ht="12">
      <c r="A44" s="39"/>
    </row>
    <row r="45" ht="12">
      <c r="A45" s="39"/>
    </row>
    <row r="46" ht="12">
      <c r="A46" s="39"/>
    </row>
    <row r="47" ht="12">
      <c r="A47" s="39"/>
    </row>
    <row r="48" spans="2:5" ht="12">
      <c r="B48" s="11"/>
      <c r="C48" s="11"/>
      <c r="D48" s="13"/>
      <c r="E48" s="13"/>
    </row>
    <row r="50" ht="12">
      <c r="A50" s="40"/>
    </row>
    <row r="58" spans="2:3" ht="12">
      <c r="B58" s="11"/>
      <c r="C58" s="11"/>
    </row>
    <row r="60" ht="12">
      <c r="A60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D1">
      <selection activeCell="D8" sqref="D8"/>
    </sheetView>
  </sheetViews>
  <sheetFormatPr defaultColWidth="9.140625" defaultRowHeight="12.75"/>
  <cols>
    <col min="1" max="1" width="9.28125" style="46" customWidth="1"/>
    <col min="2" max="2" width="29.421875" style="45" customWidth="1"/>
    <col min="3" max="5" width="10.140625" style="46" bestFit="1" customWidth="1"/>
    <col min="6" max="6" width="10.00390625" style="46" customWidth="1"/>
    <col min="7" max="7" width="13.57421875" style="46" customWidth="1"/>
    <col min="8" max="10" width="10.140625" style="46" bestFit="1" customWidth="1"/>
    <col min="11" max="16384" width="9.140625" style="46" customWidth="1"/>
  </cols>
  <sheetData>
    <row r="1" spans="1:10" ht="12.75">
      <c r="A1" s="36"/>
      <c r="C1" s="48">
        <v>35634</v>
      </c>
      <c r="D1" s="48">
        <v>35662</v>
      </c>
      <c r="E1" s="49">
        <v>35690</v>
      </c>
      <c r="F1" s="46" t="s">
        <v>215</v>
      </c>
      <c r="G1" s="45"/>
      <c r="H1" s="48">
        <v>35634</v>
      </c>
      <c r="I1" s="48">
        <v>35662</v>
      </c>
      <c r="J1" s="49">
        <v>35690</v>
      </c>
    </row>
    <row r="2" spans="1:10" ht="12.75">
      <c r="A2" s="45" t="s">
        <v>149</v>
      </c>
      <c r="B2" s="46"/>
      <c r="G2" s="45" t="s">
        <v>149</v>
      </c>
      <c r="H2" s="46">
        <v>151</v>
      </c>
      <c r="I2" s="46">
        <v>29</v>
      </c>
      <c r="J2" s="46">
        <v>173</v>
      </c>
    </row>
    <row r="3" spans="1:10" ht="12.75">
      <c r="A3" s="48"/>
      <c r="B3" s="45" t="s">
        <v>199</v>
      </c>
      <c r="C3" s="50">
        <v>115</v>
      </c>
      <c r="D3" s="47">
        <v>29</v>
      </c>
      <c r="E3" s="46">
        <v>173</v>
      </c>
      <c r="F3" s="46">
        <f>SUM(C3:E3)</f>
        <v>317</v>
      </c>
      <c r="G3" s="45" t="s">
        <v>150</v>
      </c>
      <c r="H3" s="46">
        <v>32</v>
      </c>
      <c r="I3" s="46">
        <v>0</v>
      </c>
      <c r="J3" s="46">
        <v>432</v>
      </c>
    </row>
    <row r="4" spans="2:10" ht="12.75">
      <c r="B4" s="45" t="s">
        <v>200</v>
      </c>
      <c r="C4" s="46">
        <v>7</v>
      </c>
      <c r="F4" s="46">
        <f>SUM(C4:E4)</f>
        <v>7</v>
      </c>
      <c r="G4" s="46" t="s">
        <v>204</v>
      </c>
      <c r="H4" s="46">
        <v>6677</v>
      </c>
      <c r="I4" s="46">
        <v>4605</v>
      </c>
      <c r="J4" s="46">
        <v>4749</v>
      </c>
    </row>
    <row r="5" spans="2:8" ht="12.75">
      <c r="B5" s="45" t="s">
        <v>201</v>
      </c>
      <c r="C5" s="46">
        <v>29</v>
      </c>
      <c r="F5" s="46">
        <f>SUM(C5:E5)</f>
        <v>29</v>
      </c>
      <c r="G5" s="46" t="s">
        <v>207</v>
      </c>
      <c r="H5" s="46">
        <v>173</v>
      </c>
    </row>
    <row r="6" spans="1:10" ht="12.75">
      <c r="A6" s="45" t="s">
        <v>150</v>
      </c>
      <c r="B6" s="46"/>
      <c r="G6" s="46" t="s">
        <v>152</v>
      </c>
      <c r="H6" s="46">
        <v>201</v>
      </c>
      <c r="J6" s="46">
        <v>230</v>
      </c>
    </row>
    <row r="7" spans="2:9" ht="12.75">
      <c r="B7" s="45" t="s">
        <v>202</v>
      </c>
      <c r="C7" s="46">
        <v>29</v>
      </c>
      <c r="D7" s="46" t="s">
        <v>121</v>
      </c>
      <c r="E7" s="46">
        <v>230</v>
      </c>
      <c r="F7" s="46">
        <f>SUM(C7:E7)</f>
        <v>259</v>
      </c>
      <c r="G7" s="46" t="s">
        <v>151</v>
      </c>
      <c r="H7" s="46">
        <v>374</v>
      </c>
      <c r="I7" s="46">
        <v>58</v>
      </c>
    </row>
    <row r="8" spans="2:8" ht="12.75">
      <c r="B8" s="45" t="s">
        <v>203</v>
      </c>
      <c r="C8" s="46">
        <v>3</v>
      </c>
      <c r="F8" s="46">
        <f>SUM(C8:E8)</f>
        <v>3</v>
      </c>
      <c r="G8" s="46" t="s">
        <v>153</v>
      </c>
      <c r="H8" s="46">
        <v>7</v>
      </c>
    </row>
    <row r="9" spans="2:6" ht="12.75">
      <c r="B9" s="45" t="s">
        <v>212</v>
      </c>
      <c r="E9" s="46">
        <v>58</v>
      </c>
      <c r="F9" s="46">
        <f>SUM(C9:E9)</f>
        <v>58</v>
      </c>
    </row>
    <row r="10" spans="2:6" ht="12.75">
      <c r="B10" s="45" t="s">
        <v>213</v>
      </c>
      <c r="E10" s="46">
        <v>144</v>
      </c>
      <c r="F10" s="46">
        <f>SUM(C10:E10)</f>
        <v>144</v>
      </c>
    </row>
    <row r="11" ht="12.75">
      <c r="A11" s="46" t="s">
        <v>204</v>
      </c>
    </row>
    <row r="12" spans="2:6" ht="12.75">
      <c r="B12" s="45" t="s">
        <v>214</v>
      </c>
      <c r="E12" s="46">
        <v>720</v>
      </c>
      <c r="F12" s="46">
        <f>SUM(C12:E12)</f>
        <v>720</v>
      </c>
    </row>
    <row r="13" spans="2:6" ht="12.75">
      <c r="B13" s="45" t="s">
        <v>205</v>
      </c>
      <c r="C13" s="46">
        <v>5180</v>
      </c>
      <c r="D13" s="46">
        <v>4605</v>
      </c>
      <c r="E13" s="46">
        <v>4029</v>
      </c>
      <c r="F13" s="46">
        <f>SUM(C13:E13)</f>
        <v>13814</v>
      </c>
    </row>
    <row r="14" spans="2:6" ht="12.75">
      <c r="B14" s="45" t="s">
        <v>206</v>
      </c>
      <c r="C14" s="46">
        <v>1497</v>
      </c>
      <c r="F14" s="46">
        <f>SUM(C14:E14)</f>
        <v>1497</v>
      </c>
    </row>
    <row r="15" ht="12.75">
      <c r="A15" s="46" t="s">
        <v>207</v>
      </c>
    </row>
    <row r="16" spans="2:6" ht="12.75">
      <c r="B16" s="45" t="s">
        <v>208</v>
      </c>
      <c r="C16" s="46">
        <v>173</v>
      </c>
      <c r="F16" s="46">
        <f>SUM(C16:E16)</f>
        <v>173</v>
      </c>
    </row>
    <row r="17" ht="12.75">
      <c r="A17" s="46" t="s">
        <v>152</v>
      </c>
    </row>
    <row r="18" spans="2:5" ht="12.75">
      <c r="B18" s="45" t="s">
        <v>209</v>
      </c>
      <c r="C18" s="46">
        <v>201</v>
      </c>
      <c r="E18" s="46">
        <v>230</v>
      </c>
    </row>
    <row r="19" ht="12.75">
      <c r="A19" s="46" t="s">
        <v>151</v>
      </c>
    </row>
    <row r="20" spans="2:4" ht="12.75">
      <c r="B20" s="45" t="s">
        <v>210</v>
      </c>
      <c r="C20" s="46">
        <v>374</v>
      </c>
      <c r="D20" s="46">
        <v>58</v>
      </c>
    </row>
    <row r="21" ht="12.75">
      <c r="A21" s="46" t="s">
        <v>153</v>
      </c>
    </row>
    <row r="22" spans="2:3" ht="12.75">
      <c r="B22" s="45" t="s">
        <v>211</v>
      </c>
      <c r="C22" s="46">
        <v>7</v>
      </c>
    </row>
    <row r="24" ht="12.75">
      <c r="A24" s="36"/>
    </row>
  </sheetData>
  <printOptions horizontalCentered="1" verticalCentered="1"/>
  <pageMargins left="0.75" right="0.75" top="1" bottom="1" header="0.5" footer="0.5"/>
  <pageSetup horizontalDpi="600" verticalDpi="600" orientation="portrait" r:id="rId2"/>
  <headerFooter alignWithMargins="0">
    <oddHeader xml:space="preserve">&amp;CFigure 3
Chatfield Reservoir
Phytoplankton Data
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s="11" t="s">
        <v>99</v>
      </c>
      <c r="C1" s="13"/>
      <c r="E1" s="13"/>
      <c r="G1" s="13"/>
      <c r="H1" s="13"/>
      <c r="I1" s="13"/>
    </row>
    <row r="2" spans="1:9" ht="13.5" thickBot="1">
      <c r="A2" s="12" t="s">
        <v>100</v>
      </c>
      <c r="C2" s="14" t="s">
        <v>11</v>
      </c>
      <c r="E2" s="14" t="s">
        <v>12</v>
      </c>
      <c r="G2" s="14" t="s">
        <v>13</v>
      </c>
      <c r="H2" s="13"/>
      <c r="I2" s="14" t="s">
        <v>101</v>
      </c>
    </row>
    <row r="3" spans="2:9" ht="13.5" thickTop="1">
      <c r="B3" s="7">
        <v>35471</v>
      </c>
      <c r="C3" s="15">
        <f>287/2</f>
        <v>143.5</v>
      </c>
      <c r="D3" s="17">
        <v>35471</v>
      </c>
      <c r="E3" s="13">
        <v>119</v>
      </c>
      <c r="F3" s="7">
        <v>35471</v>
      </c>
      <c r="G3" s="21">
        <v>154</v>
      </c>
      <c r="H3" s="22">
        <v>35471</v>
      </c>
      <c r="I3" s="13">
        <v>134</v>
      </c>
    </row>
    <row r="4" spans="2:9" ht="12.75">
      <c r="B4" s="8">
        <v>35487</v>
      </c>
      <c r="C4" s="15">
        <v>130</v>
      </c>
      <c r="D4" s="18">
        <v>35487</v>
      </c>
      <c r="E4" s="13">
        <v>130</v>
      </c>
      <c r="F4" s="20">
        <v>35487</v>
      </c>
      <c r="G4" s="21">
        <v>150</v>
      </c>
      <c r="H4" s="23">
        <v>35487</v>
      </c>
      <c r="I4" s="13">
        <v>133.67</v>
      </c>
    </row>
    <row r="5" spans="2:9" ht="12.75">
      <c r="B5" s="8">
        <v>35501</v>
      </c>
      <c r="C5" s="15">
        <v>157</v>
      </c>
      <c r="D5" s="18">
        <v>35501</v>
      </c>
      <c r="E5" s="13">
        <v>139</v>
      </c>
      <c r="F5" s="20">
        <v>35501</v>
      </c>
      <c r="G5" s="21">
        <v>138</v>
      </c>
      <c r="H5" s="23">
        <v>35501</v>
      </c>
      <c r="I5" s="13">
        <v>148.5</v>
      </c>
    </row>
    <row r="6" spans="2:9" ht="12.75">
      <c r="B6" s="9">
        <v>35537</v>
      </c>
      <c r="C6" s="16">
        <v>145</v>
      </c>
      <c r="D6" s="18">
        <v>35537</v>
      </c>
      <c r="E6" s="13">
        <v>130</v>
      </c>
      <c r="F6" s="20">
        <v>35537</v>
      </c>
      <c r="G6" s="21">
        <v>152</v>
      </c>
      <c r="H6" s="24">
        <v>35537</v>
      </c>
      <c r="I6" s="13">
        <v>142.25</v>
      </c>
    </row>
    <row r="7" spans="2:9" ht="12.75">
      <c r="B7" s="9">
        <v>35577</v>
      </c>
      <c r="C7" s="15">
        <v>151</v>
      </c>
      <c r="D7" s="19">
        <v>35577.62847222222</v>
      </c>
      <c r="E7" s="11">
        <v>79</v>
      </c>
      <c r="F7" s="10">
        <v>35577.604166666664</v>
      </c>
      <c r="G7" s="15">
        <v>120</v>
      </c>
      <c r="H7" s="19">
        <v>35577.5625</v>
      </c>
      <c r="I7" s="11">
        <v>152</v>
      </c>
    </row>
    <row r="8" spans="2:9" ht="12.75">
      <c r="B8" s="9">
        <v>35599</v>
      </c>
      <c r="C8" s="15">
        <v>101</v>
      </c>
      <c r="D8" s="19">
        <v>35599.479166666664</v>
      </c>
      <c r="E8" s="11">
        <f>125/2</f>
        <v>62.5</v>
      </c>
      <c r="F8" s="10">
        <v>35599.458333333336</v>
      </c>
      <c r="G8" s="15">
        <v>107</v>
      </c>
      <c r="H8" s="18">
        <v>35599.395833333336</v>
      </c>
      <c r="I8" s="13">
        <v>108.75</v>
      </c>
    </row>
    <row r="9" spans="2:9" ht="12.75">
      <c r="B9" s="10">
        <v>35620.5</v>
      </c>
      <c r="C9" s="15">
        <f>184/2</f>
        <v>92</v>
      </c>
      <c r="D9" s="19">
        <v>35620.479166666664</v>
      </c>
      <c r="E9" s="11">
        <v>89</v>
      </c>
      <c r="F9" s="10">
        <v>35620.46527777778</v>
      </c>
      <c r="G9" s="15">
        <v>134</v>
      </c>
      <c r="H9" s="19">
        <v>35620.416666666664</v>
      </c>
      <c r="I9" s="11">
        <v>92</v>
      </c>
    </row>
    <row r="10" spans="2:9" ht="12.75">
      <c r="B10" s="10">
        <v>35654.520833333336</v>
      </c>
      <c r="C10" s="15">
        <v>93</v>
      </c>
      <c r="D10" s="19">
        <v>35654.5</v>
      </c>
      <c r="E10" s="11">
        <v>85</v>
      </c>
      <c r="F10" s="10">
        <v>35654.479166666664</v>
      </c>
      <c r="G10" s="15">
        <v>108</v>
      </c>
      <c r="H10" s="18">
        <v>35654</v>
      </c>
      <c r="I10" s="13">
        <v>94</v>
      </c>
    </row>
    <row r="11" spans="2:9" ht="12.75">
      <c r="B11" s="10">
        <v>35676.48263888889</v>
      </c>
      <c r="C11" s="15">
        <v>97</v>
      </c>
      <c r="D11" s="19">
        <v>35676.381944444445</v>
      </c>
      <c r="E11" s="11">
        <v>92</v>
      </c>
      <c r="F11" s="10">
        <v>35676.39236111111</v>
      </c>
      <c r="G11" s="15">
        <v>137</v>
      </c>
      <c r="H11" s="19">
        <v>35676.447916666664</v>
      </c>
      <c r="I11" s="11">
        <v>97.25</v>
      </c>
    </row>
    <row r="12" spans="2:9" ht="12.75">
      <c r="B12" s="10">
        <v>35711.399305555555</v>
      </c>
      <c r="C12" s="15">
        <v>83</v>
      </c>
      <c r="D12" s="19">
        <v>35711.36111111111</v>
      </c>
      <c r="E12" s="11">
        <v>103</v>
      </c>
      <c r="F12" s="10">
        <v>35711.381944444445</v>
      </c>
      <c r="G12" s="15">
        <v>157</v>
      </c>
      <c r="H12" s="19">
        <v>35711.458333333336</v>
      </c>
      <c r="I12" s="11">
        <v>97.67</v>
      </c>
    </row>
    <row r="13" spans="2:9" ht="12.75">
      <c r="B13" s="10">
        <v>35753.43402777778</v>
      </c>
      <c r="C13" s="15">
        <v>114</v>
      </c>
      <c r="D13" s="19">
        <v>35753.447916666664</v>
      </c>
      <c r="E13" s="11">
        <v>99</v>
      </c>
      <c r="F13" s="10">
        <v>35753.34375</v>
      </c>
      <c r="G13" s="15">
        <v>144</v>
      </c>
      <c r="H13" s="19">
        <v>35753.40972222222</v>
      </c>
      <c r="I13" s="11">
        <v>116</v>
      </c>
    </row>
    <row r="14" spans="2:9" ht="12.75">
      <c r="B14" s="10">
        <v>35782.572916666664</v>
      </c>
      <c r="C14" s="15">
        <v>113</v>
      </c>
      <c r="D14" s="19">
        <v>35782.538194444445</v>
      </c>
      <c r="E14" s="11">
        <v>106</v>
      </c>
      <c r="F14" s="10">
        <v>35782.54861111111</v>
      </c>
      <c r="G14" s="15">
        <f>272/2</f>
        <v>136</v>
      </c>
      <c r="H14" s="19">
        <v>35782.520833333336</v>
      </c>
      <c r="I14" s="11">
        <v>117</v>
      </c>
    </row>
    <row r="16" spans="2:3" ht="13.5" thickBot="1">
      <c r="B16" s="13"/>
      <c r="C16" s="13"/>
    </row>
    <row r="17" spans="2:9" ht="12.75">
      <c r="B17" s="29" t="s">
        <v>138</v>
      </c>
      <c r="C17" s="29"/>
      <c r="D17" s="29" t="s">
        <v>122</v>
      </c>
      <c r="E17" s="29"/>
      <c r="F17" s="29" t="s">
        <v>137</v>
      </c>
      <c r="G17" s="29"/>
      <c r="H17" s="29" t="s">
        <v>139</v>
      </c>
      <c r="I17" s="29"/>
    </row>
    <row r="18" spans="2:9" ht="12.75">
      <c r="B18" s="27"/>
      <c r="C18" s="27"/>
      <c r="D18" s="27"/>
      <c r="E18" s="27"/>
      <c r="F18" s="27"/>
      <c r="G18" s="27"/>
      <c r="H18" s="27"/>
      <c r="I18" s="27"/>
    </row>
    <row r="19" spans="2:9" ht="12.75">
      <c r="B19" s="27" t="s">
        <v>123</v>
      </c>
      <c r="C19" s="27">
        <v>118.29166666666667</v>
      </c>
      <c r="D19" s="27" t="s">
        <v>123</v>
      </c>
      <c r="E19" s="27">
        <v>102.79166666666667</v>
      </c>
      <c r="F19" s="27" t="s">
        <v>123</v>
      </c>
      <c r="G19" s="27">
        <v>136.41666666666666</v>
      </c>
      <c r="H19" s="27" t="s">
        <v>123</v>
      </c>
      <c r="I19" s="27">
        <v>119.42416666666668</v>
      </c>
    </row>
    <row r="20" spans="2:9" ht="12.75">
      <c r="B20" s="27" t="s">
        <v>124</v>
      </c>
      <c r="C20" s="27">
        <v>7.502135638697428</v>
      </c>
      <c r="D20" s="27" t="s">
        <v>124</v>
      </c>
      <c r="E20" s="27">
        <v>6.6808915474423705</v>
      </c>
      <c r="F20" s="27" t="s">
        <v>124</v>
      </c>
      <c r="G20" s="27">
        <v>4.899688198696359</v>
      </c>
      <c r="H20" s="27" t="s">
        <v>124</v>
      </c>
      <c r="I20" s="27">
        <v>6.359171551047849</v>
      </c>
    </row>
    <row r="21" spans="2:9" ht="12.75">
      <c r="B21" s="27" t="s">
        <v>125</v>
      </c>
      <c r="C21" s="27">
        <v>113.5</v>
      </c>
      <c r="D21" s="27" t="s">
        <v>125</v>
      </c>
      <c r="E21" s="27">
        <v>101</v>
      </c>
      <c r="F21" s="27" t="s">
        <v>125</v>
      </c>
      <c r="G21" s="27">
        <v>137.5</v>
      </c>
      <c r="H21" s="27" t="s">
        <v>125</v>
      </c>
      <c r="I21" s="27">
        <v>116.5</v>
      </c>
    </row>
    <row r="22" spans="2:9" ht="12.75">
      <c r="B22" s="27" t="s">
        <v>126</v>
      </c>
      <c r="C22" s="27" t="e">
        <v>#N/A</v>
      </c>
      <c r="D22" s="27" t="s">
        <v>126</v>
      </c>
      <c r="E22" s="27">
        <v>130</v>
      </c>
      <c r="F22" s="27" t="s">
        <v>126</v>
      </c>
      <c r="G22" s="27" t="e">
        <v>#N/A</v>
      </c>
      <c r="H22" s="27" t="s">
        <v>126</v>
      </c>
      <c r="I22" s="27" t="e">
        <v>#N/A</v>
      </c>
    </row>
    <row r="23" spans="2:9" ht="12.75">
      <c r="B23" s="27" t="s">
        <v>127</v>
      </c>
      <c r="C23" s="27">
        <v>25.98816018299427</v>
      </c>
      <c r="D23" s="27" t="s">
        <v>127</v>
      </c>
      <c r="E23" s="27">
        <v>23.143287200055287</v>
      </c>
      <c r="F23" s="27" t="s">
        <v>127</v>
      </c>
      <c r="G23" s="27">
        <v>16.973017802775452</v>
      </c>
      <c r="H23" s="27" t="s">
        <v>127</v>
      </c>
      <c r="I23" s="27">
        <v>22.028816440922913</v>
      </c>
    </row>
    <row r="24" spans="2:9" ht="12.75">
      <c r="B24" s="27" t="s">
        <v>128</v>
      </c>
      <c r="C24" s="27">
        <v>675.3844696969688</v>
      </c>
      <c r="D24" s="27" t="s">
        <v>128</v>
      </c>
      <c r="E24" s="27">
        <v>535.6117424242428</v>
      </c>
      <c r="F24" s="27" t="s">
        <v>128</v>
      </c>
      <c r="G24" s="27">
        <v>288.08333333333246</v>
      </c>
      <c r="H24" s="27" t="s">
        <v>128</v>
      </c>
      <c r="I24" s="27">
        <v>485.2687537878757</v>
      </c>
    </row>
    <row r="25" spans="2:9" ht="12.75">
      <c r="B25" s="27" t="s">
        <v>129</v>
      </c>
      <c r="C25" s="27">
        <v>-1.5960610755452125</v>
      </c>
      <c r="D25" s="27" t="s">
        <v>129</v>
      </c>
      <c r="E25" s="27">
        <v>-0.7431435256769716</v>
      </c>
      <c r="F25" s="27" t="s">
        <v>129</v>
      </c>
      <c r="G25" s="27">
        <v>-0.5303247660480057</v>
      </c>
      <c r="H25" s="27" t="s">
        <v>129</v>
      </c>
      <c r="I25" s="27">
        <v>-1.5836143074356874</v>
      </c>
    </row>
    <row r="26" spans="2:9" ht="12.75">
      <c r="B26" s="27" t="s">
        <v>130</v>
      </c>
      <c r="C26" s="27">
        <v>0.22566815809923121</v>
      </c>
      <c r="D26" s="27" t="s">
        <v>130</v>
      </c>
      <c r="E26" s="27">
        <v>0.03170261019666569</v>
      </c>
      <c r="F26" s="27" t="s">
        <v>130</v>
      </c>
      <c r="G26" s="27">
        <v>-0.7128910933903501</v>
      </c>
      <c r="H26" s="27" t="s">
        <v>130</v>
      </c>
      <c r="I26" s="27">
        <v>0.17861504219240312</v>
      </c>
    </row>
    <row r="27" spans="2:9" ht="12.75">
      <c r="B27" s="27" t="s">
        <v>131</v>
      </c>
      <c r="C27" s="27">
        <v>74</v>
      </c>
      <c r="D27" s="27" t="s">
        <v>131</v>
      </c>
      <c r="E27" s="27">
        <v>76.5</v>
      </c>
      <c r="F27" s="27" t="s">
        <v>131</v>
      </c>
      <c r="G27" s="27">
        <v>50</v>
      </c>
      <c r="H27" s="27" t="s">
        <v>131</v>
      </c>
      <c r="I27" s="27">
        <v>60</v>
      </c>
    </row>
    <row r="28" spans="2:9" ht="12.75">
      <c r="B28" s="27" t="s">
        <v>132</v>
      </c>
      <c r="C28" s="27">
        <v>83</v>
      </c>
      <c r="D28" s="27" t="s">
        <v>132</v>
      </c>
      <c r="E28" s="27">
        <v>62.5</v>
      </c>
      <c r="F28" s="27" t="s">
        <v>132</v>
      </c>
      <c r="G28" s="27">
        <v>107</v>
      </c>
      <c r="H28" s="27" t="s">
        <v>132</v>
      </c>
      <c r="I28" s="27">
        <v>92</v>
      </c>
    </row>
    <row r="29" spans="2:9" ht="12.75">
      <c r="B29" s="27" t="s">
        <v>133</v>
      </c>
      <c r="C29" s="27">
        <v>157</v>
      </c>
      <c r="D29" s="27" t="s">
        <v>133</v>
      </c>
      <c r="E29" s="27">
        <v>139</v>
      </c>
      <c r="F29" s="27" t="s">
        <v>133</v>
      </c>
      <c r="G29" s="27">
        <v>157</v>
      </c>
      <c r="H29" s="27" t="s">
        <v>133</v>
      </c>
      <c r="I29" s="27">
        <v>152</v>
      </c>
    </row>
    <row r="30" spans="2:9" ht="12.75">
      <c r="B30" s="27" t="s">
        <v>134</v>
      </c>
      <c r="C30" s="27">
        <v>1419.5</v>
      </c>
      <c r="D30" s="27" t="s">
        <v>134</v>
      </c>
      <c r="E30" s="27">
        <v>1233.5</v>
      </c>
      <c r="F30" s="27" t="s">
        <v>134</v>
      </c>
      <c r="G30" s="27">
        <v>1637</v>
      </c>
      <c r="H30" s="27" t="s">
        <v>134</v>
      </c>
      <c r="I30" s="27">
        <v>1433.09</v>
      </c>
    </row>
    <row r="31" spans="2:9" ht="12.75">
      <c r="B31" s="27" t="s">
        <v>135</v>
      </c>
      <c r="C31" s="27">
        <v>12</v>
      </c>
      <c r="D31" s="27" t="s">
        <v>135</v>
      </c>
      <c r="E31" s="27">
        <v>12</v>
      </c>
      <c r="F31" s="27" t="s">
        <v>135</v>
      </c>
      <c r="G31" s="27">
        <v>12</v>
      </c>
      <c r="H31" s="27" t="s">
        <v>135</v>
      </c>
      <c r="I31" s="27">
        <v>12</v>
      </c>
    </row>
    <row r="32" spans="2:9" ht="13.5" thickBot="1">
      <c r="B32" s="28" t="s">
        <v>136</v>
      </c>
      <c r="C32" s="28">
        <v>16.512097560738916</v>
      </c>
      <c r="D32" s="28" t="s">
        <v>136</v>
      </c>
      <c r="E32" s="28">
        <v>14.704550588909125</v>
      </c>
      <c r="F32" s="28" t="s">
        <v>136</v>
      </c>
      <c r="G32" s="28">
        <v>10.784146468474479</v>
      </c>
      <c r="H32" s="28" t="s">
        <v>136</v>
      </c>
      <c r="I32" s="28">
        <v>13.996449293018763</v>
      </c>
    </row>
    <row r="33" spans="2:8" ht="12.75">
      <c r="B33" t="s">
        <v>11</v>
      </c>
      <c r="D33" t="s">
        <v>12</v>
      </c>
      <c r="F33" t="s">
        <v>13</v>
      </c>
      <c r="H33" t="s">
        <v>101</v>
      </c>
    </row>
    <row r="34" spans="1:8" ht="12.75">
      <c r="A34" t="s">
        <v>140</v>
      </c>
      <c r="B34">
        <v>101.77956910592775</v>
      </c>
      <c r="D34">
        <v>88.08711607775754</v>
      </c>
      <c r="F34">
        <v>125.63252019819218</v>
      </c>
      <c r="H34">
        <v>105.42771737364791</v>
      </c>
    </row>
    <row r="35" ht="13.5" thickBot="1"/>
    <row r="36" spans="2:3" ht="12.75">
      <c r="B36" s="29" t="s">
        <v>122</v>
      </c>
      <c r="C36" s="29"/>
    </row>
    <row r="37" spans="2:3" ht="12.75">
      <c r="B37" s="27"/>
      <c r="C37" s="27"/>
    </row>
    <row r="38" spans="2:3" ht="12.75">
      <c r="B38" s="27" t="s">
        <v>123</v>
      </c>
      <c r="C38" s="27">
        <v>143.5</v>
      </c>
    </row>
    <row r="39" spans="2:3" ht="12.75">
      <c r="B39" s="27" t="s">
        <v>124</v>
      </c>
      <c r="C39" s="27">
        <v>7.794228634059948</v>
      </c>
    </row>
    <row r="40" spans="2:3" ht="12.75">
      <c r="B40" s="27" t="s">
        <v>125</v>
      </c>
      <c r="C40" s="27">
        <v>143.5</v>
      </c>
    </row>
    <row r="41" spans="2:3" ht="12.75">
      <c r="B41" s="27" t="s">
        <v>126</v>
      </c>
      <c r="C41" s="27" t="e">
        <v>#N/A</v>
      </c>
    </row>
    <row r="42" spans="2:3" ht="12.75">
      <c r="B42" s="27" t="s">
        <v>127</v>
      </c>
      <c r="C42" s="27">
        <v>13.5</v>
      </c>
    </row>
    <row r="43" spans="2:3" ht="12.75">
      <c r="B43" s="27" t="s">
        <v>128</v>
      </c>
      <c r="C43" s="27">
        <v>182.25</v>
      </c>
    </row>
    <row r="44" spans="2:3" ht="12.75">
      <c r="B44" s="27" t="s">
        <v>129</v>
      </c>
      <c r="C44" s="27" t="e">
        <v>#DIV/0!</v>
      </c>
    </row>
    <row r="45" spans="2:3" ht="12.75">
      <c r="B45" s="27" t="s">
        <v>130</v>
      </c>
      <c r="C45" s="27">
        <v>0</v>
      </c>
    </row>
    <row r="46" spans="2:3" ht="12.75">
      <c r="B46" s="27" t="s">
        <v>131</v>
      </c>
      <c r="C46" s="27">
        <v>27</v>
      </c>
    </row>
    <row r="47" spans="2:3" ht="12.75">
      <c r="B47" s="27" t="s">
        <v>132</v>
      </c>
      <c r="C47" s="27">
        <v>130</v>
      </c>
    </row>
    <row r="48" spans="2:3" ht="12.75">
      <c r="B48" s="27" t="s">
        <v>133</v>
      </c>
      <c r="C48" s="27">
        <v>157</v>
      </c>
    </row>
    <row r="49" spans="2:3" ht="12.75">
      <c r="B49" s="27" t="s">
        <v>134</v>
      </c>
      <c r="C49" s="27">
        <v>430.5</v>
      </c>
    </row>
    <row r="50" spans="2:3" ht="12.75">
      <c r="B50" s="27" t="s">
        <v>135</v>
      </c>
      <c r="C50" s="27">
        <v>3</v>
      </c>
    </row>
    <row r="51" spans="2:3" ht="13.5" thickBot="1">
      <c r="B51" s="28" t="s">
        <v>136</v>
      </c>
      <c r="C51" s="28">
        <v>33.53588245461968</v>
      </c>
    </row>
    <row r="52" ht="12.75">
      <c r="B52">
        <f>143.5-33.53588</f>
        <v>109.96412000000001</v>
      </c>
    </row>
    <row r="53" ht="12.75">
      <c r="B53">
        <f>LN(B52)</f>
        <v>4.700154130765374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2000-09-29T14:49:40Z</cp:lastPrinted>
  <dcterms:created xsi:type="dcterms:W3CDTF">1998-04-15T20:46:00Z</dcterms:created>
  <dcterms:modified xsi:type="dcterms:W3CDTF">2005-02-17T20:57:28Z</dcterms:modified>
  <cp:category/>
  <cp:version/>
  <cp:contentType/>
  <cp:contentStatus/>
</cp:coreProperties>
</file>