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5910" windowHeight="4770" tabRatio="601" activeTab="4"/>
  </bookViews>
  <sheets>
    <sheet name="River-Res data" sheetId="1" r:id="rId1"/>
    <sheet name="1999 Flow" sheetId="2" r:id="rId2"/>
    <sheet name="Walker-carlson" sheetId="3" r:id="rId3"/>
    <sheet name="Res trends" sheetId="4" r:id="rId4"/>
    <sheet name="Loading" sheetId="5" r:id="rId5"/>
    <sheet name="Models" sheetId="6" r:id="rId6"/>
  </sheets>
  <definedNames>
    <definedName name="_xlnm.Print_Area" localSheetId="1">'1999 Flow'!$E$12:$J$32</definedName>
    <definedName name="_xlnm.Print_Area" localSheetId="5">'Models'!$A$5:$C$20</definedName>
    <definedName name="_xlnm.Print_Area">'Walker-carlson'!$L$1:$R$25</definedName>
    <definedName name="PRINT_AREA_MI">'Walker-carlson'!$L$1:$R$25</definedName>
  </definedNames>
  <calcPr fullCalcOnLoad="1"/>
</workbook>
</file>

<file path=xl/sharedStrings.xml><?xml version="1.0" encoding="utf-8"?>
<sst xmlns="http://schemas.openxmlformats.org/spreadsheetml/2006/main" count="600" uniqueCount="193">
  <si>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</si>
  <si>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</si>
  <si>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</si>
  <si>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</si>
  <si>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</si>
  <si>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</si>
  <si>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</si>
  <si>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</si>
  <si>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</si>
  <si>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</si>
  <si>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</si>
  <si>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</si>
  <si>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</si>
  <si>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</si>
  <si>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</si>
  <si>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</si>
  <si>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</si>
  <si>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</si>
  <si>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</si>
  <si>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pH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</si>
  <si>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</si>
  <si>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</si>
  <si>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</si>
  <si>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</si>
  <si>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</si>
  <si>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</si>
  <si>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</si>
  <si>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</si>
  <si>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</si>
  <si>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</si>
  <si>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</si>
  <si>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</si>
  <si>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</si>
  <si>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</si>
  <si>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</si>
  <si>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 xml:space="preserve"> </t>
  </si>
  <si>
    <t>Sum</t>
  </si>
  <si>
    <t>TP</t>
  </si>
  <si>
    <t>(mg/L)</t>
  </si>
  <si>
    <t>(Deg C)</t>
  </si>
  <si>
    <t>(#/100 ML)</t>
  </si>
  <si>
    <t>(mg/L as N)</t>
  </si>
  <si>
    <t>(mg/L as P)</t>
  </si>
  <si>
    <t>(Meters)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</si>
  <si>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</si>
  <si>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</si>
  <si>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</si>
  <si>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</si>
  <si>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</si>
  <si>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</si>
  <si>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</si>
  <si>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</si>
  <si>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</si>
  <si>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</si>
  <si>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</si>
  <si>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</si>
  <si>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</si>
  <si>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</si>
  <si>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</si>
  <si>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</si>
  <si>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</si>
  <si>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</si>
  <si>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</si>
  <si>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</si>
  <si>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</si>
  <si>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</si>
  <si>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</si>
  <si>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</si>
  <si>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</si>
  <si>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</si>
  <si>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</si>
  <si>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</si>
  <si>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</si>
  <si>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</si>
  <si>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</si>
  <si>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</si>
  <si>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</si>
  <si>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</si>
  <si>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</si>
  <si>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</si>
  <si>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</si>
  <si>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</si>
  <si>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</si>
  <si>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</si>
  <si>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</si>
  <si>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</si>
  <si>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</si>
  <si>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</si>
  <si>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</si>
  <si>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</si>
  <si>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</si>
  <si>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</si>
  <si>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</si>
  <si>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</si>
  <si>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</si>
  <si>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</si>
  <si>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</si>
  <si>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</si>
  <si>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</si>
  <si>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</si>
  <si>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</si>
  <si>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</si>
  <si>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</si>
  <si>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1998 Flow Estimates Chatfield Watershed</t>
  </si>
  <si>
    <t>% of Flow</t>
  </si>
  <si>
    <t>pH, FIELD</t>
  </si>
  <si>
    <t>DATE</t>
  </si>
  <si>
    <t>UNITS)</t>
  </si>
  <si>
    <t>(US/CM)</t>
  </si>
  <si>
    <r>
      <t>(mg/M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</si>
  <si>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>(gm/M</t>
    </r>
    <r>
      <rPr>
        <vertAlign val="superscript"/>
        <sz val="8"/>
        <rFont val="Tms Rmn"/>
        <family val="1"/>
      </rPr>
      <t>3</t>
    </r>
    <r>
      <rPr>
        <sz val="8"/>
        <rFont val="Tms Rmn"/>
        <family val="1"/>
      </rPr>
      <t>)</t>
    </r>
  </si>
  <si>
    <r>
      <t xml:space="preserve">(CFS) </t>
    </r>
    <r>
      <rPr>
        <vertAlign val="superscript"/>
        <sz val="8"/>
        <rFont val="Tms Rmn"/>
        <family val="1"/>
      </rPr>
      <t xml:space="preserve">1) </t>
    </r>
  </si>
  <si>
    <t>(STD. UNITS)</t>
  </si>
  <si>
    <t>South Platte</t>
  </si>
  <si>
    <r>
      <t xml:space="preserve">(CFS) </t>
    </r>
    <r>
      <rPr>
        <vertAlign val="superscript"/>
        <sz val="8"/>
        <rFont val="Tms Rmn"/>
        <family val="1"/>
      </rPr>
      <t>1)</t>
    </r>
  </si>
  <si>
    <t>TIME</t>
  </si>
  <si>
    <t>Reservoir</t>
  </si>
  <si>
    <t>Total Suspended Solids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</si>
  <si>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</si>
  <si>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</si>
  <si>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</si>
  <si>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</si>
  <si>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</si>
  <si>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</si>
  <si>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</si>
  <si>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</si>
  <si>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</si>
  <si>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</si>
  <si>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</si>
  <si>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</si>
  <si>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</si>
  <si>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</si>
  <si>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t>1999 Flow Estimates Chatfield Watershed</t>
  </si>
  <si>
    <t>1999 Loadings</t>
  </si>
  <si>
    <t>1999 Total Phosphorus loading</t>
  </si>
  <si>
    <r>
      <t xml:space="preserve">MDL </t>
    </r>
    <r>
      <rPr>
        <vertAlign val="superscript"/>
        <sz val="8"/>
        <rFont val="Tms Rmn"/>
        <family val="1"/>
      </rPr>
      <t>2)</t>
    </r>
  </si>
  <si>
    <r>
      <t>PQL</t>
    </r>
    <r>
      <rPr>
        <vertAlign val="superscript"/>
        <sz val="8"/>
        <rFont val="Tms Rmn"/>
        <family val="1"/>
      </rPr>
      <t xml:space="preserve"> 3)</t>
    </r>
  </si>
  <si>
    <t>SC</t>
  </si>
  <si>
    <t>DO</t>
  </si>
  <si>
    <t>Temp</t>
  </si>
  <si>
    <t>FC</t>
  </si>
  <si>
    <t>TSS</t>
  </si>
  <si>
    <t>OP</t>
  </si>
  <si>
    <t>flow</t>
  </si>
  <si>
    <t>ph</t>
  </si>
  <si>
    <t>NO3</t>
  </si>
  <si>
    <t>NH4</t>
  </si>
  <si>
    <t>TEMP</t>
  </si>
  <si>
    <t>South Platte River</t>
  </si>
  <si>
    <t>Average</t>
  </si>
  <si>
    <t>PH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</si>
  <si>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</si>
  <si>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</si>
  <si>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</si>
  <si>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</si>
  <si>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</si>
  <si>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</si>
  <si>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</si>
  <si>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</si>
  <si>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</si>
  <si>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</si>
  <si>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</si>
  <si>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</si>
  <si>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t>SECCHI</t>
  </si>
  <si>
    <t>CHLORO</t>
  </si>
  <si>
    <t>TN</t>
  </si>
  <si>
    <t>Trophic Indicators</t>
  </si>
  <si>
    <t>Peak Chl</t>
  </si>
  <si>
    <t>Annual Chl</t>
  </si>
  <si>
    <t>Seasonal Chl</t>
  </si>
  <si>
    <t>Annual Secchi</t>
  </si>
  <si>
    <t>Seasonal Secchi</t>
  </si>
  <si>
    <t xml:space="preserve">Annual TP </t>
  </si>
  <si>
    <t>Seasonal TP</t>
  </si>
  <si>
    <r>
      <t>(ug/L)</t>
    </r>
    <r>
      <rPr>
        <vertAlign val="superscript"/>
        <sz val="12"/>
        <rFont val="Tms Rmn"/>
        <family val="1"/>
      </rPr>
      <t>1)2)</t>
    </r>
  </si>
  <si>
    <t>Avg</t>
  </si>
  <si>
    <t>Peak TP</t>
  </si>
  <si>
    <t>Inflow ac-ft/yr</t>
  </si>
  <si>
    <t>TP #/yr</t>
  </si>
  <si>
    <t>NO3 #/yr</t>
  </si>
  <si>
    <t>TSS #/yr</t>
  </si>
  <si>
    <t>49 ME</t>
  </si>
  <si>
    <t>44-46 ME</t>
  </si>
  <si>
    <t>45-52 ME/E</t>
  </si>
  <si>
    <t>55 E</t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</si>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</sst>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</numFmts>
  <fonts count="47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sz val="17.5"/>
      <name val="Arial"/>
      <family val="0"/>
    </font>
    <font>
      <sz val="8"/>
      <name val="Arial"/>
      <family val="2"/>
    </font>
    <font>
      <sz val="14.25"/>
      <name val="Arial"/>
      <family val="0"/>
    </font>
    <font>
      <sz val="9.75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.2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b/>
      <sz val="5.5"/>
      <name val="Arial"/>
      <family val="2"/>
    </font>
    <font>
      <u val="single"/>
      <sz val="10"/>
      <color indexed="12"/>
      <name val="Helvetica"/>
      <family val="2"/>
    </font>
    <font>
      <b/>
      <sz val="11.75"/>
      <name val="Arial"/>
      <family val="2"/>
    </font>
    <font>
      <sz val="8"/>
      <name val="Helvetica"/>
      <family val="2"/>
    </font>
    <font>
      <sz val="11.75"/>
      <name val="Arial"/>
      <family val="0"/>
    </font>
    <font>
      <sz val="10"/>
      <name val="Helv"/>
      <family val="0"/>
    </font>
    <font>
      <sz val="8"/>
      <name val="Helv"/>
      <family val="0"/>
    </font>
    <font>
      <sz val="10.5"/>
      <name val="Arial"/>
      <family val="0"/>
    </font>
    <font>
      <sz val="5.5"/>
      <name val="Arial"/>
      <family val="2"/>
    </font>
    <font>
      <b/>
      <sz val="8.75"/>
      <name val="Arial"/>
      <family val="2"/>
    </font>
    <font>
      <sz val="11.5"/>
      <name val="Arial"/>
      <family val="0"/>
    </font>
    <font>
      <sz val="12"/>
      <name val="Helvetica-Black"/>
      <family val="2"/>
    </font>
    <font>
      <b/>
      <sz val="15.75"/>
      <name val="Arial"/>
      <family val="0"/>
    </font>
    <font>
      <sz val="8"/>
      <name val="Helvetica-Black"/>
      <family val="2"/>
    </font>
    <font>
      <sz val="10.75"/>
      <name val="Arial"/>
      <family val="0"/>
    </font>
    <font>
      <b/>
      <sz val="10.5"/>
      <name val="Arial"/>
      <family val="2"/>
    </font>
    <font>
      <sz val="8"/>
      <name val="Tms Rmn"/>
      <family val="1"/>
    </font>
    <font>
      <vertAlign val="superscript"/>
      <sz val="8"/>
      <name val="Tms Rmn"/>
      <family val="1"/>
    </font>
    <font>
      <sz val="16.5"/>
      <name val="Arial"/>
      <family val="0"/>
    </font>
    <font>
      <b/>
      <sz val="8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u val="single"/>
      <sz val="12"/>
      <name val="Tms Rmn"/>
      <family val="0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73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169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169" fontId="37" fillId="0" borderId="0" xfId="0" applyNumberFormat="1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169" fontId="37" fillId="0" borderId="2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/>
    </xf>
    <xf numFmtId="171" fontId="37" fillId="0" borderId="2" xfId="0" applyNumberFormat="1" applyFont="1" applyFill="1" applyBorder="1" applyAlignment="1" applyProtection="1">
      <alignment horizontal="center"/>
      <protection/>
    </xf>
    <xf numFmtId="0" fontId="37" fillId="0" borderId="2" xfId="0" applyFont="1" applyFill="1" applyBorder="1" applyAlignment="1">
      <alignment horizontal="centerContinuous"/>
    </xf>
    <xf numFmtId="171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15" fontId="37" fillId="0" borderId="0" xfId="0" applyNumberFormat="1" applyFont="1" applyFill="1" applyAlignment="1">
      <alignment horizontal="center"/>
    </xf>
    <xf numFmtId="20" fontId="37" fillId="0" borderId="0" xfId="0" applyNumberFormat="1" applyFont="1" applyFill="1" applyAlignment="1">
      <alignment horizontal="center"/>
    </xf>
    <xf numFmtId="169" fontId="37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169" fontId="40" fillId="0" borderId="0" xfId="0" applyNumberFormat="1" applyFont="1" applyFill="1" applyBorder="1" applyAlignment="1">
      <alignment horizontal="center"/>
    </xf>
    <xf numFmtId="15" fontId="24" fillId="0" borderId="0" xfId="0" applyNumberFormat="1" applyFont="1" applyFill="1" applyAlignment="1">
      <alignment horizontal="left"/>
    </xf>
    <xf numFmtId="20" fontId="24" fillId="0" borderId="0" xfId="0" applyNumberFormat="1" applyFont="1" applyFill="1" applyAlignment="1">
      <alignment horizontal="center"/>
    </xf>
    <xf numFmtId="16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4" fontId="37" fillId="0" borderId="0" xfId="0" applyNumberFormat="1" applyFont="1" applyFill="1" applyAlignment="1">
      <alignment horizontal="center"/>
    </xf>
    <xf numFmtId="22" fontId="37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37" fillId="0" borderId="0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64" fontId="37" fillId="0" borderId="0" xfId="0" applyNumberFormat="1" applyFont="1" applyFill="1" applyBorder="1" applyAlignment="1" applyProtection="1">
      <alignment horizontal="center"/>
      <protection/>
    </xf>
    <xf numFmtId="0" fontId="37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Continuous"/>
    </xf>
    <xf numFmtId="2" fontId="37" fillId="0" borderId="5" xfId="0" applyNumberFormat="1" applyFont="1" applyFill="1" applyBorder="1" applyAlignment="1" applyProtection="1">
      <alignment horizontal="center"/>
      <protection/>
    </xf>
    <xf numFmtId="15" fontId="41" fillId="0" borderId="0" xfId="0" applyNumberFormat="1" applyFont="1" applyFill="1" applyAlignment="1">
      <alignment horizontal="center"/>
    </xf>
    <xf numFmtId="20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169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164" fontId="41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1" fontId="43" fillId="0" borderId="0" xfId="0" applyNumberFormat="1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174" fontId="43" fillId="0" borderId="0" xfId="0" applyNumberFormat="1" applyFont="1" applyAlignment="1" applyProtection="1">
      <alignment horizontal="center"/>
      <protection/>
    </xf>
    <xf numFmtId="169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 horizontal="center"/>
    </xf>
    <xf numFmtId="173" fontId="45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172" fontId="24" fillId="0" borderId="0" xfId="0" applyNumberFormat="1" applyFont="1" applyAlignment="1" applyProtection="1">
      <alignment/>
      <protection/>
    </xf>
    <xf numFmtId="0" fontId="40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15" fontId="41" fillId="0" borderId="6" xfId="0" applyNumberFormat="1" applyFont="1" applyFill="1" applyBorder="1" applyAlignment="1">
      <alignment horizontal="center"/>
    </xf>
    <xf numFmtId="20" fontId="41" fillId="0" borderId="6" xfId="0" applyNumberFormat="1" applyFont="1" applyFill="1" applyBorder="1" applyAlignment="1">
      <alignment horizontal="center"/>
    </xf>
    <xf numFmtId="169" fontId="41" fillId="0" borderId="6" xfId="0" applyNumberFormat="1" applyFont="1" applyFill="1" applyBorder="1" applyAlignment="1">
      <alignment horizontal="center"/>
    </xf>
    <xf numFmtId="1" fontId="41" fillId="0" borderId="6" xfId="0" applyNumberFormat="1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164" fontId="41" fillId="0" borderId="6" xfId="0" applyNumberFormat="1" applyFont="1" applyFill="1" applyBorder="1" applyAlignment="1">
      <alignment horizontal="center"/>
    </xf>
    <xf numFmtId="169" fontId="41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5" fontId="41" fillId="0" borderId="0" xfId="0" applyNumberFormat="1" applyFont="1" applyFill="1" applyBorder="1" applyAlignment="1">
      <alignment horizontal="center"/>
    </xf>
    <xf numFmtId="20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40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3" fillId="0" borderId="7" xfId="0" applyFont="1" applyBorder="1" applyAlignment="1">
      <alignment horizontal="centerContinuous"/>
    </xf>
    <xf numFmtId="169" fontId="43" fillId="0" borderId="7" xfId="0" applyNumberFormat="1" applyFont="1" applyBorder="1" applyAlignment="1">
      <alignment horizontal="center"/>
    </xf>
    <xf numFmtId="1" fontId="43" fillId="0" borderId="0" xfId="0" applyNumberFormat="1" applyFont="1" applyAlignment="1" applyProtection="1">
      <alignment horizontal="center"/>
      <protection/>
    </xf>
    <xf numFmtId="1" fontId="44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7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645"/>
          <c:w val="0.862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data'!$V$85:$V$95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data'!$V$111:$V$120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51177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375"/>
          <c:y val="0.9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Figure 5(b)
Walker's Seasonal TSI Values Chatfield Reservoir 1998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979"/>
          <c:h val="0.73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'Walker-carlson'!$N$16:$V$16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'Walker-carlson'!$N$26:$V$26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95027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Carlson's Seasonal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5"/>
          <c:w val="0.96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'Walker-carlson'!$C$30:$K$30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'Walker-carlson'!$C$33:$K$33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'Walker-carlson'!$C$28:$K$28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'Walker-carlson'!$C$36:$K$36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684461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1999 Chatfield Reservoir 
Average Chlorophyll-a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225"/>
          <c:w val="0.87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410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4675"/>
          <c:w val="0.838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'Res trends'!$B$20:$B$36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9733697"/>
        <c:axId val="44950090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axId val="1897627"/>
        <c:axId val="17078644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950090"/>
        <c:crosses val="autoZero"/>
        <c:auto val="0"/>
        <c:lblOffset val="100"/>
        <c:noMultiLvlLbl val="0"/>
      </c:cat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733697"/>
        <c:crossesAt val="1"/>
        <c:crossBetween val="between"/>
        <c:dispUnits/>
      </c:valAx>
      <c:catAx>
        <c:axId val="1897627"/>
        <c:scaling>
          <c:orientation val="minMax"/>
        </c:scaling>
        <c:axPos val="b"/>
        <c:delete val="1"/>
        <c:majorTickMark val="in"/>
        <c:minorTickMark val="none"/>
        <c:tickLblPos val="nextTo"/>
        <c:crossAx val="17078644"/>
        <c:crosses val="autoZero"/>
        <c:auto val="0"/>
        <c:lblOffset val="100"/>
        <c:noMultiLvlLbl val="0"/>
      </c:cat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7627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375"/>
          <c:y val="0.91125"/>
          <c:w val="0.4812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 1982-1999 Chatfield Reservoir 
Chlorphyll &amp; Phosphorus Linear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6825"/>
          <c:w val="0.8775"/>
          <c:h val="0.6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/>
            </c:trendlineLbl>
          </c:trendline>
          <c:xVal>
            <c:numRef>
              <c:f>'Res trends'!$D$38:$D$54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'Res trends'!$E$38:$E$54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9490069"/>
        <c:axId val="41192894"/>
      </c:scatterChart>
      <c:val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92894"/>
        <c:crosses val="autoZero"/>
        <c:crossBetween val="midCat"/>
        <c:dispUnits/>
      </c:valAx>
      <c:valAx>
        <c:axId val="4119289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90069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1999 </a:t>
            </a:r>
            <a:r>
              <a:rPr lang="en-US" cap="none" sz="1050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6175"/>
          <c:w val="0.871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91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</a:t>
            </a:r>
            <a:r>
              <a:rPr lang="en-US" cap="none" sz="900" b="1" i="0" u="none" baseline="0"/>
              <a:t>Chatfield Reservoir
 Seasonal Total Phosphorus vs. Chlorophyll-a
[July - September]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385"/>
          <c:w val="0.8385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'Res trends'!$B$38:$B$54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1957609"/>
        <c:axId val="19183026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trends'!$C$38:$C$54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axId val="38429507"/>
        <c:axId val="10321244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183026"/>
        <c:crosses val="autoZero"/>
        <c:auto val="0"/>
        <c:lblOffset val="100"/>
        <c:noMultiLvlLbl val="0"/>
      </c:catAx>
      <c:valAx>
        <c:axId val="1918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57609"/>
        <c:crossesAt val="1"/>
        <c:crossBetween val="between"/>
        <c:dispUnits/>
      </c:valAx>
      <c:catAx>
        <c:axId val="38429507"/>
        <c:scaling>
          <c:orientation val="minMax"/>
        </c:scaling>
        <c:axPos val="b"/>
        <c:delete val="1"/>
        <c:majorTickMark val="in"/>
        <c:minorTickMark val="none"/>
        <c:tickLblPos val="nextTo"/>
        <c:crossAx val="10321244"/>
        <c:crosses val="autoZero"/>
        <c:auto val="0"/>
        <c:lblOffset val="100"/>
        <c:noMultiLvlLbl val="0"/>
      </c:catAx>
      <c:valAx>
        <c:axId val="1032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29507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1"/>
          <c:y val="0.91725"/>
          <c:w val="0.48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0225"/>
          <c:w val="0.923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8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5"/>
          <c:w val="0.375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65"/>
          <c:w val="0.882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(lbs/month)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99419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325"/>
          <c:y val="0.9355"/>
          <c:w val="0.3862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
TSS Loading</a:t>
            </a:r>
          </a:p>
        </c:rich>
      </c:tx>
      <c:layout>
        <c:manualLayout>
          <c:xMode val="factor"/>
          <c:yMode val="factor"/>
          <c:x val="0.28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"/>
          <c:w val="0.931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Loading!$B$75:$B$86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Loading!$A$75:$A$86</c:f>
              <c:strCache/>
            </c:strRef>
          </c:cat>
          <c:val>
            <c:numRef>
              <c:f>Loading!$C$75:$C$86</c:f>
              <c:numCache/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5503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98"/>
          <c:w val="0.2162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1999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945"/>
          <c:w val="0.86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data'!$W$132:$W$142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528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TMAL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1"/>
          <c:w val="0.88225"/>
          <c:h val="0.6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Models!$C$24:$C$30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Models!$D$24:$D$30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Models!$A$53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Models!$B$61:$B$69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Models!$C$61:$C$69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7917675"/>
        <c:axId val="5714756"/>
      </c:scatterChart>
      <c:valAx>
        <c:axId val="37917675"/>
        <c:scaling>
          <c:orientation val="minMax"/>
          <c:max val="4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14756"/>
        <c:crosses val="autoZero"/>
        <c:crossBetween val="midCat"/>
        <c:dispUnits/>
        <c:majorUnit val="50000"/>
        <c:minorUnit val="5000"/>
      </c:valAx>
      <c:valAx>
        <c:axId val="571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- Annual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17675"/>
        <c:crosses val="autoZero"/>
        <c:crossBetween val="midCat"/>
        <c:dispUnits/>
        <c:majorUnit val="25000"/>
        <c:minorUnit val="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525"/>
          <c:w val="0.905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data'!$Y$85:$Y$95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data'!$Y$111:$Y$121</c:f>
              <c:numCache>
                <c:ptCount val="11"/>
                <c:pt idx="0">
                  <c:v>0.06</c:v>
                </c:pt>
                <c:pt idx="1">
                  <c:v>0.04</c:v>
                </c:pt>
                <c:pt idx="2">
                  <c:v>0.52</c:v>
                </c:pt>
                <c:pt idx="3">
                  <c:v>0.2</c:v>
                </c:pt>
                <c:pt idx="4">
                  <c:v>0.22</c:v>
                </c:pt>
                <c:pt idx="5">
                  <c:v>0.075</c:v>
                </c:pt>
                <c:pt idx="6">
                  <c:v>0.14500000000000002</c:v>
                </c:pt>
                <c:pt idx="7">
                  <c:v>0.115</c:v>
                </c:pt>
                <c:pt idx="8">
                  <c:v>0.08</c:v>
                </c:pt>
                <c:pt idx="9">
                  <c:v>0.06</c:v>
                </c:pt>
                <c:pt idx="10">
                  <c:v>0.07</c:v>
                </c:pt>
              </c:numCache>
            </c:numRef>
          </c:val>
          <c:smooth val="1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02365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67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1999 Chatfield Reservoir 
Average Total Phosphorus Concentration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9875"/>
          <c:w val="0.87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data'!$Y$132:$Y$142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749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 Chatfield Inflows 
Ammonia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9775"/>
          <c:w val="0.858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data'!$W$85:$W$95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data'!$W$111:$W$121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539377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325"/>
          <c:y val="0.8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1999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625"/>
          <c:w val="0.869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'River-Res data'!$O$83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data'!$Z$85:$Z$95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'River-Res data'!$O$105</c:f>
              <c:strCache>
                <c:ptCount val="1"/>
                <c:pt idx="0">
                  <c:v>Plum Creek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data'!$O$111:$O$121</c:f>
              <c:strCache/>
            </c:strRef>
          </c:cat>
          <c:val>
            <c:numRef>
              <c:f>'River-Res data'!$Z$111:$Z$121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2475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522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1999 Chatfield Reservoir 
Total Suspended Sediment Concentrations</a:t>
            </a:r>
          </a:p>
        </c:rich>
      </c:tx>
      <c:layout>
        <c:manualLayout>
          <c:xMode val="factor"/>
          <c:yMode val="factor"/>
          <c:x val="0.01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5"/>
          <c:w val="0.893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data'!$O$65:$O$75</c:f>
              <c:strCache/>
            </c:strRef>
          </c:cat>
          <c:val>
            <c:numRef>
              <c:f>'River-Res data'!$Z$132:$Z$142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961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1999 Chatfield Reservoir 
Specific Conductance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555"/>
          <c:w val="0.878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'River-Res data'!$O$129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'River-Res data'!$O$85:$O$95</c:f>
              <c:strCache/>
            </c:strRef>
          </c:cat>
          <c:val>
            <c:numRef>
              <c:f>'River-Res data'!$R$85:$R$95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Conducatnce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Figure 5(a)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375"/>
          <c:w val="0.9295"/>
          <c:h val="0.748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'Walker-carlson'!$M$2:$V$2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'Walker-carlson'!$M$12:$V$12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5226521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447675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30861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3705225" y="209550"/>
        <a:ext cx="33718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447675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31051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16</xdr:row>
      <xdr:rowOff>66675</xdr:rowOff>
    </xdr:from>
    <xdr:to>
      <xdr:col>11</xdr:col>
      <xdr:colOff>561975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3743325" y="2657475"/>
        <a:ext cx="3276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447675</xdr:colOff>
      <xdr:row>42</xdr:row>
      <xdr:rowOff>114300</xdr:rowOff>
    </xdr:to>
    <xdr:graphicFrame>
      <xdr:nvGraphicFramePr>
        <xdr:cNvPr id="5" name="Chart 6"/>
        <xdr:cNvGraphicFramePr/>
      </xdr:nvGraphicFramePr>
      <xdr:xfrm>
        <a:off x="171450" y="5200650"/>
        <a:ext cx="296227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44</xdr:row>
      <xdr:rowOff>104775</xdr:rowOff>
    </xdr:from>
    <xdr:to>
      <xdr:col>5</xdr:col>
      <xdr:colOff>200025</xdr:colOff>
      <xdr:row>58</xdr:row>
      <xdr:rowOff>28575</xdr:rowOff>
    </xdr:to>
    <xdr:graphicFrame>
      <xdr:nvGraphicFramePr>
        <xdr:cNvPr id="6" name="Chart 7"/>
        <xdr:cNvGraphicFramePr/>
      </xdr:nvGraphicFramePr>
      <xdr:xfrm>
        <a:off x="190500" y="7229475"/>
        <a:ext cx="31432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514350</xdr:colOff>
      <xdr:row>32</xdr:row>
      <xdr:rowOff>9525</xdr:rowOff>
    </xdr:from>
    <xdr:to>
      <xdr:col>11</xdr:col>
      <xdr:colOff>533400</xdr:colOff>
      <xdr:row>42</xdr:row>
      <xdr:rowOff>104775</xdr:rowOff>
    </xdr:to>
    <xdr:graphicFrame>
      <xdr:nvGraphicFramePr>
        <xdr:cNvPr id="7" name="Chart 8"/>
        <xdr:cNvGraphicFramePr/>
      </xdr:nvGraphicFramePr>
      <xdr:xfrm>
        <a:off x="3648075" y="5191125"/>
        <a:ext cx="3343275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476250</xdr:colOff>
      <xdr:row>44</xdr:row>
      <xdr:rowOff>76200</xdr:rowOff>
    </xdr:from>
    <xdr:to>
      <xdr:col>12</xdr:col>
      <xdr:colOff>76200</xdr:colOff>
      <xdr:row>57</xdr:row>
      <xdr:rowOff>66675</xdr:rowOff>
    </xdr:to>
    <xdr:graphicFrame>
      <xdr:nvGraphicFramePr>
        <xdr:cNvPr id="8" name="Chart 10"/>
        <xdr:cNvGraphicFramePr/>
      </xdr:nvGraphicFramePr>
      <xdr:xfrm>
        <a:off x="3609975" y="7200900"/>
        <a:ext cx="3533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37</xdr:row>
      <xdr:rowOff>38100</xdr:rowOff>
    </xdr:from>
    <xdr:to>
      <xdr:col>21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8524875" y="6029325"/>
        <a:ext cx="46386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51</xdr:row>
      <xdr:rowOff>19050</xdr:rowOff>
    </xdr:from>
    <xdr:to>
      <xdr:col>21</xdr:col>
      <xdr:colOff>352425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8534400" y="8277225"/>
        <a:ext cx="4619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49</xdr:row>
      <xdr:rowOff>142875</xdr:rowOff>
    </xdr:from>
    <xdr:to>
      <xdr:col>9</xdr:col>
      <xdr:colOff>28575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657225" y="8077200"/>
        <a:ext cx="4857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448050" y="142875"/>
        <a:ext cx="3448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133350</xdr:rowOff>
    </xdr:from>
    <xdr:to>
      <xdr:col>10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457575" y="2724150"/>
        <a:ext cx="36290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457200</xdr:colOff>
      <xdr:row>16</xdr:row>
      <xdr:rowOff>19050</xdr:rowOff>
    </xdr:from>
    <xdr:to>
      <xdr:col>18</xdr:col>
      <xdr:colOff>219075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7553325" y="2609850"/>
        <a:ext cx="4029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0</xdr:row>
      <xdr:rowOff>152400</xdr:rowOff>
    </xdr:from>
    <xdr:to>
      <xdr:col>17</xdr:col>
      <xdr:colOff>504825</xdr:colOff>
      <xdr:row>14</xdr:row>
      <xdr:rowOff>142875</xdr:rowOff>
    </xdr:to>
    <xdr:graphicFrame>
      <xdr:nvGraphicFramePr>
        <xdr:cNvPr id="4" name="Chart 5"/>
        <xdr:cNvGraphicFramePr/>
      </xdr:nvGraphicFramePr>
      <xdr:xfrm>
        <a:off x="7400925" y="152400"/>
        <a:ext cx="38576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39</xdr:row>
      <xdr:rowOff>152400</xdr:rowOff>
    </xdr:from>
    <xdr:to>
      <xdr:col>11</xdr:col>
      <xdr:colOff>590550</xdr:colOff>
      <xdr:row>56</xdr:row>
      <xdr:rowOff>133350</xdr:rowOff>
    </xdr:to>
    <xdr:graphicFrame>
      <xdr:nvGraphicFramePr>
        <xdr:cNvPr id="5" name="Chart 6"/>
        <xdr:cNvGraphicFramePr/>
      </xdr:nvGraphicFramePr>
      <xdr:xfrm>
        <a:off x="4048125" y="6467475"/>
        <a:ext cx="36385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43175"/>
        <a:ext cx="5133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52</xdr:row>
      <xdr:rowOff>28575</xdr:rowOff>
    </xdr:from>
    <xdr:to>
      <xdr:col>6</xdr:col>
      <xdr:colOff>438150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590550" y="8448675"/>
        <a:ext cx="48958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1000125</xdr:colOff>
      <xdr:row>87</xdr:row>
      <xdr:rowOff>133350</xdr:rowOff>
    </xdr:from>
    <xdr:to>
      <xdr:col>6</xdr:col>
      <xdr:colOff>752475</xdr:colOff>
      <xdr:row>97</xdr:row>
      <xdr:rowOff>95250</xdr:rowOff>
    </xdr:to>
    <xdr:graphicFrame>
      <xdr:nvGraphicFramePr>
        <xdr:cNvPr id="3" name="Chart 4"/>
        <xdr:cNvGraphicFramePr/>
      </xdr:nvGraphicFramePr>
      <xdr:xfrm>
        <a:off x="1000125" y="14192250"/>
        <a:ext cx="48006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0.3765</cdr:x>
      <cdr:y>0.46275</cdr:y>
    </cdr:from>
    <cdr:to>
      <cdr:x>0.4945</cdr:x>
      <cdr:y>0.517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5430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1998 </a:t>
          </a:r>
        </a:p>
      </cdr:txBody>
    </cdr:sp>
  </cdr:relSizeAnchor>
  <cdr:relSizeAnchor xmlns:cdr="http://schemas.openxmlformats.org/drawingml/2006/chartDrawing">
    <cdr:from>
      <cdr:x>0.3865</cdr:x>
      <cdr:y>0.5615</cdr:y>
    </cdr:from>
    <cdr:to>
      <cdr:x>0.477</cdr:x>
      <cdr:y>0.61575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18764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30</xdr:row>
      <xdr:rowOff>0</xdr:rowOff>
    </xdr:from>
    <xdr:to>
      <xdr:col>8</xdr:col>
      <xdr:colOff>9525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495425" y="485775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workbookViewId="0" topLeftCell="R103">
      <selection activeCell="Y116" sqref="Y116"/>
    </sheetView>
  </sheetViews>
  <sheetFormatPr defaultColWidth="9.140625" defaultRowHeight="12.75"/>
  <cols>
    <col min="1" max="1" width="12.57421875" style="10" customWidth="1"/>
    <col min="2" max="2" width="9.140625" style="10" customWidth="1"/>
    <col min="3" max="3" width="8.7109375" style="10" customWidth="1"/>
    <col min="4" max="4" width="9.8515625" style="10" bestFit="1" customWidth="1"/>
    <col min="5" max="5" width="6.7109375" style="10" bestFit="1" customWidth="1"/>
    <col min="6" max="6" width="8.57421875" style="10" customWidth="1"/>
    <col min="7" max="7" width="5.7109375" style="10" bestFit="1" customWidth="1"/>
    <col min="8" max="8" width="7.8515625" style="10" bestFit="1" customWidth="1"/>
    <col min="9" max="9" width="8.00390625" style="10" bestFit="1" customWidth="1"/>
    <col min="10" max="10" width="10.57421875" style="10" customWidth="1"/>
    <col min="11" max="16384" width="9.140625" style="10" customWidth="1"/>
  </cols>
  <sheetData>
    <row r="1" spans="1:7" ht="12.75">
      <c r="A1" s="8"/>
      <c r="B1" s="9"/>
      <c r="C1" s="9"/>
      <c r="D1" s="9"/>
      <c r="E1" s="9"/>
      <c r="F1" s="170"/>
      <c r="G1" s="170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98" customFormat="1" ht="12" customHeight="1">
      <c r="A62" s="35" t="s">
        <v>101</v>
      </c>
      <c r="B62" s="35"/>
      <c r="C62" s="39" t="s">
        <v>14</v>
      </c>
      <c r="D62" s="40" t="s">
        <v>19</v>
      </c>
      <c r="E62" s="39" t="s">
        <v>137</v>
      </c>
      <c r="F62" s="40" t="s">
        <v>138</v>
      </c>
      <c r="G62" s="40" t="s">
        <v>139</v>
      </c>
      <c r="H62" s="38" t="s">
        <v>140</v>
      </c>
      <c r="I62" s="38" t="s">
        <v>145</v>
      </c>
      <c r="J62" s="38" t="s">
        <v>146</v>
      </c>
      <c r="K62" s="38" t="s">
        <v>142</v>
      </c>
      <c r="L62" s="38" t="s">
        <v>37</v>
      </c>
      <c r="M62" s="101" t="s">
        <v>141</v>
      </c>
      <c r="O62" s="35" t="s">
        <v>101</v>
      </c>
      <c r="P62" s="39" t="s">
        <v>14</v>
      </c>
      <c r="Q62" s="40" t="s">
        <v>19</v>
      </c>
      <c r="R62" s="39" t="s">
        <v>137</v>
      </c>
      <c r="S62" s="40" t="s">
        <v>138</v>
      </c>
      <c r="T62" s="40" t="s">
        <v>139</v>
      </c>
      <c r="U62" s="38" t="s">
        <v>140</v>
      </c>
      <c r="V62" s="38" t="s">
        <v>145</v>
      </c>
      <c r="W62" s="38" t="s">
        <v>146</v>
      </c>
      <c r="X62" s="38" t="s">
        <v>142</v>
      </c>
      <c r="Y62" s="38" t="s">
        <v>37</v>
      </c>
      <c r="Z62" s="101" t="s">
        <v>141</v>
      </c>
    </row>
    <row r="63" spans="1:26" ht="12.75">
      <c r="A63" s="42" t="s">
        <v>106</v>
      </c>
      <c r="B63" s="42" t="s">
        <v>115</v>
      </c>
      <c r="C63" s="44" t="s">
        <v>114</v>
      </c>
      <c r="D63" s="43" t="s">
        <v>112</v>
      </c>
      <c r="E63" s="44" t="s">
        <v>108</v>
      </c>
      <c r="F63" s="43" t="s">
        <v>38</v>
      </c>
      <c r="G63" s="43" t="s">
        <v>39</v>
      </c>
      <c r="H63" s="42" t="s">
        <v>40</v>
      </c>
      <c r="I63" s="42" t="s">
        <v>41</v>
      </c>
      <c r="J63" s="42" t="s">
        <v>38</v>
      </c>
      <c r="K63" s="45" t="s">
        <v>42</v>
      </c>
      <c r="L63" s="42" t="s">
        <v>42</v>
      </c>
      <c r="M63" s="42" t="s">
        <v>110</v>
      </c>
      <c r="O63" s="42" t="s">
        <v>106</v>
      </c>
      <c r="P63" s="44" t="s">
        <v>114</v>
      </c>
      <c r="Q63" s="43" t="s">
        <v>112</v>
      </c>
      <c r="R63" s="44" t="s">
        <v>108</v>
      </c>
      <c r="S63" s="43" t="s">
        <v>38</v>
      </c>
      <c r="T63" s="43" t="s">
        <v>39</v>
      </c>
      <c r="U63" s="42" t="s">
        <v>40</v>
      </c>
      <c r="V63" s="42" t="s">
        <v>41</v>
      </c>
      <c r="W63" s="42" t="s">
        <v>38</v>
      </c>
      <c r="X63" s="45" t="s">
        <v>42</v>
      </c>
      <c r="Y63" s="42" t="s">
        <v>42</v>
      </c>
      <c r="Z63" s="42" t="s">
        <v>110</v>
      </c>
    </row>
    <row r="64" spans="1:15" ht="12.75">
      <c r="A64" s="109">
        <v>36209</v>
      </c>
      <c r="B64" s="110">
        <v>0.3611111111111111</v>
      </c>
      <c r="C64" s="111">
        <v>1.6</v>
      </c>
      <c r="D64" s="112">
        <v>7.78</v>
      </c>
      <c r="E64" s="111">
        <v>327</v>
      </c>
      <c r="F64" s="112">
        <v>11</v>
      </c>
      <c r="G64" s="112">
        <v>0.5</v>
      </c>
      <c r="H64" s="114">
        <v>1</v>
      </c>
      <c r="I64" s="116">
        <v>0.14</v>
      </c>
      <c r="J64" s="116">
        <v>0.07</v>
      </c>
      <c r="K64" s="116">
        <v>0.005</v>
      </c>
      <c r="L64" s="116">
        <v>0.01</v>
      </c>
      <c r="M64" s="118">
        <v>5</v>
      </c>
      <c r="O64" s="10" t="s">
        <v>88</v>
      </c>
    </row>
    <row r="65" spans="1:26" ht="12.75">
      <c r="A65" s="109">
        <v>36229</v>
      </c>
      <c r="B65" s="110">
        <v>0.34027777777777773</v>
      </c>
      <c r="C65" s="111">
        <v>49</v>
      </c>
      <c r="D65" s="112">
        <v>7.69</v>
      </c>
      <c r="E65" s="111">
        <v>322</v>
      </c>
      <c r="F65" s="112">
        <v>13.01</v>
      </c>
      <c r="G65" s="112">
        <v>4</v>
      </c>
      <c r="H65" s="114">
        <v>1</v>
      </c>
      <c r="I65" s="116">
        <v>0.02</v>
      </c>
      <c r="J65" s="116">
        <v>0.05</v>
      </c>
      <c r="K65" s="116">
        <v>0.005</v>
      </c>
      <c r="L65" s="116">
        <v>0.01</v>
      </c>
      <c r="M65" s="118">
        <v>6</v>
      </c>
      <c r="O65" s="10" t="s">
        <v>0</v>
      </c>
      <c r="P65" s="10">
        <f>C64</f>
        <v>1.6</v>
      </c>
      <c r="Q65" s="10">
        <f aca="true" t="shared" si="0" ref="Q65:Z65">D64</f>
        <v>7.78</v>
      </c>
      <c r="R65" s="10">
        <f t="shared" si="0"/>
        <v>327</v>
      </c>
      <c r="S65" s="10">
        <f t="shared" si="0"/>
        <v>11</v>
      </c>
      <c r="T65" s="10">
        <f t="shared" si="0"/>
        <v>0.5</v>
      </c>
      <c r="U65" s="10">
        <f t="shared" si="0"/>
        <v>1</v>
      </c>
      <c r="V65" s="11">
        <f t="shared" si="0"/>
        <v>0.14</v>
      </c>
      <c r="W65" s="11">
        <f t="shared" si="0"/>
        <v>0.07</v>
      </c>
      <c r="X65" s="11">
        <f t="shared" si="0"/>
        <v>0.005</v>
      </c>
      <c r="Y65" s="11">
        <f t="shared" si="0"/>
        <v>0.01</v>
      </c>
      <c r="Z65" s="17">
        <f t="shared" si="0"/>
        <v>5</v>
      </c>
    </row>
    <row r="66" spans="1:26" ht="12.75">
      <c r="A66" s="109">
        <v>36229</v>
      </c>
      <c r="B66" s="111">
        <v>9999</v>
      </c>
      <c r="C66" s="111">
        <v>49</v>
      </c>
      <c r="D66" s="112">
        <v>7.69</v>
      </c>
      <c r="E66" s="111">
        <v>322</v>
      </c>
      <c r="F66" s="112">
        <v>13.01</v>
      </c>
      <c r="G66" s="112">
        <v>4</v>
      </c>
      <c r="H66" s="114">
        <v>1</v>
      </c>
      <c r="I66" s="116">
        <v>0.03</v>
      </c>
      <c r="J66" s="116">
        <v>0.05</v>
      </c>
      <c r="K66" s="116">
        <v>0.005</v>
      </c>
      <c r="L66" s="116">
        <v>0.01</v>
      </c>
      <c r="M66" s="118">
        <v>5</v>
      </c>
      <c r="O66" s="10" t="s">
        <v>1</v>
      </c>
      <c r="P66" s="10">
        <f>AVERAGE(C65:C66)</f>
        <v>49</v>
      </c>
      <c r="Q66" s="10">
        <f aca="true" t="shared" si="1" ref="Q66:Z66">AVERAGE(D65:D66)</f>
        <v>7.69</v>
      </c>
      <c r="R66" s="10">
        <f t="shared" si="1"/>
        <v>322</v>
      </c>
      <c r="S66" s="10">
        <f t="shared" si="1"/>
        <v>13.01</v>
      </c>
      <c r="T66" s="10">
        <f t="shared" si="1"/>
        <v>4</v>
      </c>
      <c r="U66" s="10">
        <f t="shared" si="1"/>
        <v>1</v>
      </c>
      <c r="V66" s="10">
        <f t="shared" si="1"/>
        <v>0.025</v>
      </c>
      <c r="W66" s="10">
        <f t="shared" si="1"/>
        <v>0.05</v>
      </c>
      <c r="X66" s="10">
        <f t="shared" si="1"/>
        <v>0.005</v>
      </c>
      <c r="Y66" s="10">
        <f t="shared" si="1"/>
        <v>0.01</v>
      </c>
      <c r="Z66" s="10">
        <f t="shared" si="1"/>
        <v>5.5</v>
      </c>
    </row>
    <row r="67" spans="1:26" ht="12.75">
      <c r="A67" s="109">
        <v>36243</v>
      </c>
      <c r="B67" s="110">
        <v>0.3645833333333333</v>
      </c>
      <c r="C67" s="111">
        <v>37</v>
      </c>
      <c r="D67" s="112">
        <v>6.46</v>
      </c>
      <c r="E67" s="111">
        <v>313</v>
      </c>
      <c r="F67" s="112">
        <v>13.4</v>
      </c>
      <c r="G67" s="112">
        <v>7.9</v>
      </c>
      <c r="H67" s="114">
        <v>1</v>
      </c>
      <c r="I67" s="116">
        <v>0.12</v>
      </c>
      <c r="J67" s="116">
        <v>0.05</v>
      </c>
      <c r="K67" s="116">
        <v>0.005</v>
      </c>
      <c r="L67" s="116">
        <v>0.01</v>
      </c>
      <c r="M67" s="118">
        <v>5</v>
      </c>
      <c r="O67" s="10" t="s">
        <v>2</v>
      </c>
      <c r="P67" s="10">
        <f>C68</f>
        <v>28</v>
      </c>
      <c r="Q67" s="10">
        <f aca="true" t="shared" si="2" ref="Q67:Z69">D68</f>
        <v>7.35</v>
      </c>
      <c r="R67" s="10">
        <f t="shared" si="2"/>
        <v>319</v>
      </c>
      <c r="S67" s="10">
        <f t="shared" si="2"/>
        <v>10.25</v>
      </c>
      <c r="T67" s="10">
        <f t="shared" si="2"/>
        <v>6.5</v>
      </c>
      <c r="U67" s="10">
        <f t="shared" si="2"/>
        <v>1</v>
      </c>
      <c r="V67" s="11">
        <f t="shared" si="2"/>
        <v>0.02</v>
      </c>
      <c r="W67" s="11">
        <f t="shared" si="2"/>
        <v>0.05</v>
      </c>
      <c r="X67" s="11">
        <f t="shared" si="2"/>
        <v>0.005</v>
      </c>
      <c r="Y67" s="11">
        <f t="shared" si="2"/>
        <v>0.01</v>
      </c>
      <c r="Z67" s="17">
        <f t="shared" si="2"/>
        <v>10</v>
      </c>
    </row>
    <row r="68" spans="1:26" ht="12.75">
      <c r="A68" s="109">
        <v>36265</v>
      </c>
      <c r="B68" s="110">
        <v>0.34375</v>
      </c>
      <c r="C68" s="111">
        <v>28</v>
      </c>
      <c r="D68" s="112">
        <v>7.35</v>
      </c>
      <c r="E68" s="111">
        <v>319</v>
      </c>
      <c r="F68" s="112">
        <v>10.25</v>
      </c>
      <c r="G68" s="112">
        <v>6.5</v>
      </c>
      <c r="H68" s="114">
        <v>1</v>
      </c>
      <c r="I68" s="116">
        <v>0.02</v>
      </c>
      <c r="J68" s="116">
        <v>0.05</v>
      </c>
      <c r="K68" s="116">
        <v>0.005</v>
      </c>
      <c r="L68" s="116">
        <v>0.01</v>
      </c>
      <c r="M68" s="118">
        <v>10</v>
      </c>
      <c r="O68" s="10" t="s">
        <v>3</v>
      </c>
      <c r="P68" s="10">
        <f>C69</f>
        <v>160</v>
      </c>
      <c r="Q68" s="10">
        <f t="shared" si="2"/>
        <v>7.42</v>
      </c>
      <c r="R68" s="10">
        <f t="shared" si="2"/>
        <v>249</v>
      </c>
      <c r="S68" s="10">
        <f t="shared" si="2"/>
        <v>13.93</v>
      </c>
      <c r="T68" s="10">
        <f t="shared" si="2"/>
        <v>13.1</v>
      </c>
      <c r="U68" s="10">
        <f t="shared" si="2"/>
        <v>22</v>
      </c>
      <c r="V68" s="11">
        <f t="shared" si="2"/>
        <v>0.18</v>
      </c>
      <c r="W68" s="11">
        <f t="shared" si="2"/>
        <v>0.05</v>
      </c>
      <c r="X68" s="11">
        <f t="shared" si="2"/>
        <v>0.113</v>
      </c>
      <c r="Y68" s="11">
        <f t="shared" si="2"/>
        <v>0.08</v>
      </c>
      <c r="Z68" s="17">
        <f t="shared" si="2"/>
        <v>58</v>
      </c>
    </row>
    <row r="69" spans="1:26" ht="12.75">
      <c r="A69" s="109">
        <v>36299</v>
      </c>
      <c r="B69" s="110">
        <v>0.375</v>
      </c>
      <c r="C69" s="111">
        <v>160</v>
      </c>
      <c r="D69" s="112">
        <v>7.42</v>
      </c>
      <c r="E69" s="111">
        <v>249</v>
      </c>
      <c r="F69" s="112">
        <v>13.93</v>
      </c>
      <c r="G69" s="112">
        <v>13.1</v>
      </c>
      <c r="H69" s="114">
        <v>22</v>
      </c>
      <c r="I69" s="116">
        <v>0.18</v>
      </c>
      <c r="J69" s="116">
        <v>0.05</v>
      </c>
      <c r="K69" s="116">
        <v>0.113</v>
      </c>
      <c r="L69" s="116">
        <v>0.08</v>
      </c>
      <c r="M69" s="118">
        <v>58</v>
      </c>
      <c r="O69" s="10" t="s">
        <v>4</v>
      </c>
      <c r="P69" s="10">
        <f>C70</f>
        <v>500</v>
      </c>
      <c r="Q69" s="10">
        <f t="shared" si="2"/>
        <v>6.81</v>
      </c>
      <c r="R69" s="10">
        <f t="shared" si="2"/>
        <v>201</v>
      </c>
      <c r="S69" s="10">
        <f t="shared" si="2"/>
        <v>7.18</v>
      </c>
      <c r="T69" s="10">
        <f t="shared" si="2"/>
        <v>14.9</v>
      </c>
      <c r="U69" s="10">
        <f t="shared" si="2"/>
        <v>8</v>
      </c>
      <c r="V69" s="11">
        <f t="shared" si="2"/>
        <v>0.08</v>
      </c>
      <c r="W69" s="11">
        <f t="shared" si="2"/>
        <v>0.08</v>
      </c>
      <c r="X69" s="11">
        <f t="shared" si="2"/>
        <v>0.046</v>
      </c>
      <c r="Y69" s="11">
        <f t="shared" si="2"/>
        <v>0.04</v>
      </c>
      <c r="Z69" s="17">
        <f t="shared" si="2"/>
        <v>18</v>
      </c>
    </row>
    <row r="70" spans="1:26" ht="12.75">
      <c r="A70" s="109">
        <v>36320</v>
      </c>
      <c r="B70" s="110">
        <v>0.4166666666666667</v>
      </c>
      <c r="C70" s="111">
        <v>500</v>
      </c>
      <c r="D70" s="112">
        <v>6.81</v>
      </c>
      <c r="E70" s="111">
        <v>201</v>
      </c>
      <c r="F70" s="112">
        <v>7.18</v>
      </c>
      <c r="G70" s="112">
        <v>14.9</v>
      </c>
      <c r="H70" s="114">
        <v>8</v>
      </c>
      <c r="I70" s="116">
        <v>0.08</v>
      </c>
      <c r="J70" s="116">
        <v>0.08</v>
      </c>
      <c r="K70" s="116">
        <v>0.046</v>
      </c>
      <c r="L70" s="116">
        <v>0.04</v>
      </c>
      <c r="M70" s="118">
        <v>18</v>
      </c>
      <c r="O70" s="10" t="s">
        <v>5</v>
      </c>
      <c r="P70" s="17">
        <f>AVERAGE(C71:C73)</f>
        <v>433.3333333333333</v>
      </c>
      <c r="Q70" s="17">
        <f aca="true" t="shared" si="3" ref="Q70:Z70">AVERAGE(D71:D73)</f>
        <v>7.656666666666666</v>
      </c>
      <c r="R70" s="17">
        <f t="shared" si="3"/>
        <v>219.66666666666666</v>
      </c>
      <c r="S70" s="17">
        <f t="shared" si="3"/>
        <v>7.77</v>
      </c>
      <c r="T70" s="17">
        <f t="shared" si="3"/>
        <v>18.966666666666665</v>
      </c>
      <c r="U70" s="17">
        <f t="shared" si="3"/>
        <v>1</v>
      </c>
      <c r="V70" s="11">
        <f t="shared" si="3"/>
        <v>0.04</v>
      </c>
      <c r="W70" s="11">
        <f t="shared" si="3"/>
        <v>0.09000000000000001</v>
      </c>
      <c r="X70" s="11">
        <f t="shared" si="3"/>
        <v>0.013666666666666667</v>
      </c>
      <c r="Y70" s="11">
        <f t="shared" si="3"/>
        <v>0.016666666666666666</v>
      </c>
      <c r="Z70" s="17">
        <f t="shared" si="3"/>
        <v>13.333333333333334</v>
      </c>
    </row>
    <row r="71" spans="1:26" ht="12.75">
      <c r="A71" s="109">
        <v>36348</v>
      </c>
      <c r="B71" s="110">
        <v>0.34722222222222227</v>
      </c>
      <c r="C71" s="111">
        <v>460</v>
      </c>
      <c r="D71" s="112">
        <v>7.74</v>
      </c>
      <c r="E71" s="111">
        <v>217</v>
      </c>
      <c r="F71" s="112">
        <v>8.59</v>
      </c>
      <c r="G71" s="112">
        <v>18.4</v>
      </c>
      <c r="H71" s="114">
        <v>1</v>
      </c>
      <c r="I71" s="116">
        <v>0.04</v>
      </c>
      <c r="J71" s="116">
        <v>0.11</v>
      </c>
      <c r="K71" s="116">
        <v>0.005</v>
      </c>
      <c r="L71" s="116">
        <v>0.02</v>
      </c>
      <c r="M71" s="118">
        <v>20</v>
      </c>
      <c r="O71" s="10" t="s">
        <v>6</v>
      </c>
      <c r="P71" s="17">
        <f>AVERAGE(C74:C75)</f>
        <v>295</v>
      </c>
      <c r="Q71" s="17">
        <f aca="true" t="shared" si="4" ref="Q71:Z71">AVERAGE(D74:D75)</f>
        <v>7.415</v>
      </c>
      <c r="R71" s="17">
        <f t="shared" si="4"/>
        <v>209</v>
      </c>
      <c r="S71" s="17">
        <f t="shared" si="4"/>
        <v>7.105</v>
      </c>
      <c r="T71" s="17">
        <f t="shared" si="4"/>
        <v>18.5</v>
      </c>
      <c r="U71" s="17">
        <f t="shared" si="4"/>
        <v>5</v>
      </c>
      <c r="V71" s="11">
        <f t="shared" si="4"/>
        <v>0.045000000000000005</v>
      </c>
      <c r="W71" s="11">
        <f t="shared" si="4"/>
        <v>0.05</v>
      </c>
      <c r="X71" s="11">
        <f t="shared" si="4"/>
        <v>0.017</v>
      </c>
      <c r="Y71" s="11">
        <f t="shared" si="4"/>
        <v>0.015</v>
      </c>
      <c r="Z71" s="17">
        <f t="shared" si="4"/>
        <v>7.5</v>
      </c>
    </row>
    <row r="72" spans="1:26" ht="12.75">
      <c r="A72" s="109">
        <v>36348</v>
      </c>
      <c r="B72" s="111">
        <v>9999</v>
      </c>
      <c r="C72" s="111">
        <v>460</v>
      </c>
      <c r="D72" s="112">
        <v>7.74</v>
      </c>
      <c r="E72" s="111">
        <v>217</v>
      </c>
      <c r="F72" s="112">
        <v>8.59</v>
      </c>
      <c r="G72" s="112">
        <v>18.4</v>
      </c>
      <c r="H72" s="114">
        <v>1</v>
      </c>
      <c r="I72" s="116">
        <v>0.04</v>
      </c>
      <c r="J72" s="116">
        <v>0.11</v>
      </c>
      <c r="K72" s="116">
        <v>0.005</v>
      </c>
      <c r="L72" s="116">
        <v>0.02</v>
      </c>
      <c r="M72" s="118">
        <v>6</v>
      </c>
      <c r="O72" s="10" t="s">
        <v>7</v>
      </c>
      <c r="P72" s="17">
        <f>AVERAGE(C76:C77)</f>
        <v>42</v>
      </c>
      <c r="Q72" s="17">
        <f aca="true" t="shared" si="5" ref="Q72:Z72">AVERAGE(D76:D77)</f>
        <v>7.4</v>
      </c>
      <c r="R72" s="17">
        <f t="shared" si="5"/>
        <v>218.5</v>
      </c>
      <c r="S72" s="17">
        <f t="shared" si="5"/>
        <v>7.255</v>
      </c>
      <c r="T72" s="17">
        <f t="shared" si="5"/>
        <v>17.35</v>
      </c>
      <c r="U72" s="17">
        <f t="shared" si="5"/>
        <v>9</v>
      </c>
      <c r="V72" s="11">
        <f t="shared" si="5"/>
        <v>0.055</v>
      </c>
      <c r="W72" s="11">
        <f t="shared" si="5"/>
        <v>0.05</v>
      </c>
      <c r="X72" s="11">
        <f t="shared" si="5"/>
        <v>0.011</v>
      </c>
      <c r="Y72" s="11">
        <f t="shared" si="5"/>
        <v>0.025</v>
      </c>
      <c r="Z72" s="17">
        <f t="shared" si="5"/>
        <v>10</v>
      </c>
    </row>
    <row r="73" spans="1:26" ht="12.75">
      <c r="A73" s="109">
        <v>36362</v>
      </c>
      <c r="B73" s="110">
        <v>0.3541666666666667</v>
      </c>
      <c r="C73" s="111">
        <v>380</v>
      </c>
      <c r="D73" s="112">
        <v>7.49</v>
      </c>
      <c r="E73" s="111">
        <v>225</v>
      </c>
      <c r="F73" s="112">
        <v>6.13</v>
      </c>
      <c r="G73" s="112">
        <v>20.1</v>
      </c>
      <c r="H73" s="114"/>
      <c r="I73" s="116">
        <v>0.04</v>
      </c>
      <c r="J73" s="116">
        <v>0.05</v>
      </c>
      <c r="K73" s="116">
        <v>0.031</v>
      </c>
      <c r="L73" s="116">
        <v>0.01</v>
      </c>
      <c r="M73" s="118">
        <v>14</v>
      </c>
      <c r="O73" s="10" t="s">
        <v>8</v>
      </c>
      <c r="P73" s="10">
        <f>C78</f>
        <v>7.8</v>
      </c>
      <c r="Q73" s="10">
        <f aca="true" t="shared" si="6" ref="Q73:Z73">D78</f>
        <v>7.18</v>
      </c>
      <c r="R73" s="10">
        <f t="shared" si="6"/>
        <v>246</v>
      </c>
      <c r="S73" s="10">
        <f t="shared" si="6"/>
        <v>7.29</v>
      </c>
      <c r="T73" s="10">
        <f t="shared" si="6"/>
        <v>11.1</v>
      </c>
      <c r="U73" s="10">
        <f t="shared" si="6"/>
        <v>16</v>
      </c>
      <c r="V73" s="11">
        <f t="shared" si="6"/>
        <v>0.02</v>
      </c>
      <c r="W73" s="11">
        <f t="shared" si="6"/>
        <v>0.05</v>
      </c>
      <c r="X73" s="11">
        <f t="shared" si="6"/>
        <v>0.017</v>
      </c>
      <c r="Y73" s="11">
        <f t="shared" si="6"/>
        <v>0.03</v>
      </c>
      <c r="Z73" s="17">
        <f t="shared" si="6"/>
        <v>24</v>
      </c>
    </row>
    <row r="74" spans="1:26" ht="12.75">
      <c r="A74" s="109">
        <v>36376</v>
      </c>
      <c r="B74" s="110">
        <v>0.34027777777777773</v>
      </c>
      <c r="C74" s="111">
        <v>100</v>
      </c>
      <c r="D74" s="112">
        <v>7.58</v>
      </c>
      <c r="E74" s="111">
        <v>204</v>
      </c>
      <c r="F74" s="112">
        <v>7.61</v>
      </c>
      <c r="G74" s="112">
        <v>18.4</v>
      </c>
      <c r="H74" s="114">
        <v>5</v>
      </c>
      <c r="I74" s="116">
        <v>0.07</v>
      </c>
      <c r="J74" s="116">
        <v>0.05</v>
      </c>
      <c r="K74" s="116">
        <v>0.029</v>
      </c>
      <c r="L74" s="116">
        <v>0.02</v>
      </c>
      <c r="M74" s="118">
        <v>10</v>
      </c>
      <c r="O74" s="10" t="s">
        <v>9</v>
      </c>
      <c r="P74" s="10">
        <f>C79</f>
        <v>54</v>
      </c>
      <c r="Q74" s="10">
        <f aca="true" t="shared" si="7" ref="Q74:Z74">D79</f>
        <v>6.23</v>
      </c>
      <c r="R74" s="10">
        <f t="shared" si="7"/>
        <v>264</v>
      </c>
      <c r="S74" s="10">
        <f t="shared" si="7"/>
        <v>8.97</v>
      </c>
      <c r="T74" s="10">
        <f t="shared" si="7"/>
        <v>8.6</v>
      </c>
      <c r="U74" s="10">
        <f t="shared" si="7"/>
        <v>1</v>
      </c>
      <c r="V74" s="11">
        <f t="shared" si="7"/>
        <v>0.08</v>
      </c>
      <c r="W74" s="11">
        <f t="shared" si="7"/>
        <v>0.05</v>
      </c>
      <c r="X74" s="11">
        <f t="shared" si="7"/>
        <v>0.005</v>
      </c>
      <c r="Y74" s="11">
        <f t="shared" si="7"/>
        <v>0.03</v>
      </c>
      <c r="Z74" s="17">
        <f t="shared" si="7"/>
        <v>5</v>
      </c>
    </row>
    <row r="75" spans="1:26" ht="12.75">
      <c r="A75" s="109">
        <v>36390</v>
      </c>
      <c r="B75" s="110">
        <v>0.3333333333333333</v>
      </c>
      <c r="C75" s="111">
        <v>490</v>
      </c>
      <c r="D75" s="112">
        <v>7.25</v>
      </c>
      <c r="E75" s="111">
        <v>214</v>
      </c>
      <c r="F75" s="112">
        <v>6.6</v>
      </c>
      <c r="G75" s="112">
        <v>18.6</v>
      </c>
      <c r="H75" s="114"/>
      <c r="I75" s="116">
        <v>0.02</v>
      </c>
      <c r="J75" s="116">
        <v>0.05</v>
      </c>
      <c r="K75" s="116">
        <v>0.005</v>
      </c>
      <c r="L75" s="116">
        <v>0.01</v>
      </c>
      <c r="M75" s="118">
        <v>5</v>
      </c>
      <c r="O75" s="10" t="s">
        <v>10</v>
      </c>
      <c r="P75" s="10">
        <f>C80</f>
        <v>39</v>
      </c>
      <c r="Q75" s="10">
        <f aca="true" t="shared" si="8" ref="Q75:Z75">D80</f>
        <v>5.71</v>
      </c>
      <c r="R75" s="10">
        <f t="shared" si="8"/>
        <v>284</v>
      </c>
      <c r="S75" s="10">
        <f t="shared" si="8"/>
        <v>11.7</v>
      </c>
      <c r="T75" s="10">
        <f t="shared" si="8"/>
        <v>1.2</v>
      </c>
      <c r="U75" s="10">
        <f t="shared" si="8"/>
        <v>1</v>
      </c>
      <c r="V75" s="11">
        <f t="shared" si="8"/>
        <v>0.13</v>
      </c>
      <c r="W75" s="11">
        <f t="shared" si="8"/>
        <v>0.05</v>
      </c>
      <c r="X75" s="11">
        <f t="shared" si="8"/>
        <v>0.007</v>
      </c>
      <c r="Y75" s="11">
        <f t="shared" si="8"/>
        <v>0.03</v>
      </c>
      <c r="Z75" s="17">
        <f t="shared" si="8"/>
        <v>5</v>
      </c>
    </row>
    <row r="76" spans="1:26" ht="12.75">
      <c r="A76" s="109">
        <v>36404</v>
      </c>
      <c r="B76" s="110">
        <v>0.3333333333333333</v>
      </c>
      <c r="C76" s="111">
        <v>48</v>
      </c>
      <c r="D76" s="112">
        <v>7.45</v>
      </c>
      <c r="E76" s="111">
        <v>207</v>
      </c>
      <c r="F76" s="112">
        <v>7.7</v>
      </c>
      <c r="G76" s="112">
        <v>18.1</v>
      </c>
      <c r="H76" s="114">
        <v>9</v>
      </c>
      <c r="I76" s="116">
        <v>0.08</v>
      </c>
      <c r="J76" s="116">
        <v>0.05</v>
      </c>
      <c r="K76" s="116">
        <v>0.011</v>
      </c>
      <c r="L76" s="116">
        <v>0.01</v>
      </c>
      <c r="M76" s="118">
        <v>10</v>
      </c>
      <c r="O76" s="10" t="s">
        <v>175</v>
      </c>
      <c r="P76" s="17">
        <f>AVERAGE(P65:P75)</f>
        <v>146.33939393939394</v>
      </c>
      <c r="Q76" s="13">
        <f aca="true" t="shared" si="9" ref="Q76:Z76">AVERAGE(Q65:Q75)</f>
        <v>7.149242424242424</v>
      </c>
      <c r="R76" s="17">
        <f t="shared" si="9"/>
        <v>259.92424242424244</v>
      </c>
      <c r="S76" s="164">
        <f t="shared" si="9"/>
        <v>9.587272727272728</v>
      </c>
      <c r="T76" s="164">
        <f t="shared" si="9"/>
        <v>10.428787878787878</v>
      </c>
      <c r="U76" s="10">
        <f t="shared" si="9"/>
        <v>6</v>
      </c>
      <c r="V76" s="11">
        <f t="shared" si="9"/>
        <v>0.0740909090909091</v>
      </c>
      <c r="W76" s="11">
        <f t="shared" si="9"/>
        <v>0.058181818181818196</v>
      </c>
      <c r="X76" s="11">
        <f t="shared" si="9"/>
        <v>0.022242424242424244</v>
      </c>
      <c r="Y76" s="11">
        <f t="shared" si="9"/>
        <v>0.026969696969696966</v>
      </c>
      <c r="Z76" s="17">
        <f t="shared" si="9"/>
        <v>14.666666666666664</v>
      </c>
    </row>
    <row r="77" spans="1:13" ht="12.75">
      <c r="A77" s="109">
        <v>36418</v>
      </c>
      <c r="B77" s="110">
        <v>0.3645833333333333</v>
      </c>
      <c r="C77" s="111">
        <v>36</v>
      </c>
      <c r="D77" s="112">
        <v>7.35</v>
      </c>
      <c r="E77" s="111">
        <v>230</v>
      </c>
      <c r="F77" s="112">
        <v>6.81</v>
      </c>
      <c r="G77" s="112">
        <v>16.6</v>
      </c>
      <c r="H77" s="114"/>
      <c r="I77" s="116">
        <v>0.03</v>
      </c>
      <c r="J77" s="116">
        <v>0.05</v>
      </c>
      <c r="K77" s="116">
        <v>0.011</v>
      </c>
      <c r="L77" s="116">
        <v>0.04</v>
      </c>
      <c r="M77" s="118">
        <v>10</v>
      </c>
    </row>
    <row r="78" spans="1:13" ht="12.75">
      <c r="A78" s="109">
        <v>36446</v>
      </c>
      <c r="B78" s="110">
        <v>0.3611111111111111</v>
      </c>
      <c r="C78" s="111">
        <v>7.8</v>
      </c>
      <c r="D78" s="112">
        <v>7.18</v>
      </c>
      <c r="E78" s="111">
        <v>246</v>
      </c>
      <c r="F78" s="112">
        <v>7.29</v>
      </c>
      <c r="G78" s="112">
        <v>11.1</v>
      </c>
      <c r="H78" s="114">
        <v>16</v>
      </c>
      <c r="I78" s="116">
        <v>0.02</v>
      </c>
      <c r="J78" s="116">
        <v>0.05</v>
      </c>
      <c r="K78" s="116">
        <v>0.017</v>
      </c>
      <c r="L78" s="116">
        <v>0.03</v>
      </c>
      <c r="M78" s="118">
        <v>24</v>
      </c>
    </row>
    <row r="79" spans="1:13" ht="12.75">
      <c r="A79" s="109">
        <v>36474</v>
      </c>
      <c r="B79" s="110">
        <v>0.375</v>
      </c>
      <c r="C79" s="111">
        <v>54</v>
      </c>
      <c r="D79" s="112">
        <v>6.23</v>
      </c>
      <c r="E79" s="111">
        <v>264</v>
      </c>
      <c r="F79" s="112">
        <v>8.97</v>
      </c>
      <c r="G79" s="112">
        <v>8.6</v>
      </c>
      <c r="H79" s="114">
        <v>1</v>
      </c>
      <c r="I79" s="116">
        <v>0.08</v>
      </c>
      <c r="J79" s="116">
        <v>0.05</v>
      </c>
      <c r="K79" s="116">
        <v>0.005</v>
      </c>
      <c r="L79" s="116">
        <v>0.03</v>
      </c>
      <c r="M79" s="118">
        <v>5</v>
      </c>
    </row>
    <row r="80" spans="1:13" ht="12.75">
      <c r="A80" s="109">
        <v>36509</v>
      </c>
      <c r="B80" s="110">
        <v>0.375</v>
      </c>
      <c r="C80" s="111">
        <v>39</v>
      </c>
      <c r="D80" s="112">
        <v>5.71</v>
      </c>
      <c r="E80" s="111">
        <v>284</v>
      </c>
      <c r="F80" s="112">
        <v>11.7</v>
      </c>
      <c r="G80" s="112">
        <v>1.2</v>
      </c>
      <c r="H80" s="114">
        <v>1</v>
      </c>
      <c r="I80" s="116">
        <v>0.13</v>
      </c>
      <c r="J80" s="116">
        <v>0.05</v>
      </c>
      <c r="K80" s="116">
        <v>0.007</v>
      </c>
      <c r="L80" s="116">
        <v>0.03</v>
      </c>
      <c r="M80" s="118">
        <v>5</v>
      </c>
    </row>
    <row r="81" spans="1:13" ht="12.75">
      <c r="A81" s="109" t="s">
        <v>149</v>
      </c>
      <c r="B81" s="110"/>
      <c r="C81" s="118">
        <f>AVERAGE(C64:C80)</f>
        <v>170.5529411764706</v>
      </c>
      <c r="D81" s="112">
        <f aca="true" t="shared" si="10" ref="D81:M81">AVERAGE(D64:D80)</f>
        <v>7.230588235294117</v>
      </c>
      <c r="E81" s="118">
        <f t="shared" si="10"/>
        <v>256.52941176470586</v>
      </c>
      <c r="F81" s="112">
        <f t="shared" si="10"/>
        <v>9.515882352941176</v>
      </c>
      <c r="G81" s="112">
        <f t="shared" si="10"/>
        <v>11.788235294117644</v>
      </c>
      <c r="H81" s="118">
        <f t="shared" si="10"/>
        <v>4.928571428571429</v>
      </c>
      <c r="I81" s="116">
        <f t="shared" si="10"/>
        <v>0.06705882352941177</v>
      </c>
      <c r="J81" s="116">
        <f t="shared" si="10"/>
        <v>0.06000000000000001</v>
      </c>
      <c r="K81" s="116">
        <f t="shared" si="10"/>
        <v>0.01823529411764706</v>
      </c>
      <c r="L81" s="116">
        <f t="shared" si="10"/>
        <v>0.022941176470588236</v>
      </c>
      <c r="M81" s="118">
        <f t="shared" si="10"/>
        <v>12.705882352941176</v>
      </c>
    </row>
    <row r="82" spans="1:14" ht="12.75">
      <c r="A82" s="109"/>
      <c r="B82" s="110"/>
      <c r="C82" s="111"/>
      <c r="D82" s="112"/>
      <c r="E82" s="111"/>
      <c r="F82" s="112"/>
      <c r="G82" s="112"/>
      <c r="H82" s="113"/>
      <c r="I82" s="114"/>
      <c r="J82" s="115"/>
      <c r="K82" s="114"/>
      <c r="L82" s="114"/>
      <c r="M82" s="116"/>
      <c r="N82" s="114"/>
    </row>
    <row r="83" spans="1:26" ht="12.75">
      <c r="A83" s="35" t="s">
        <v>148</v>
      </c>
      <c r="B83" s="35"/>
      <c r="C83" s="39" t="s">
        <v>143</v>
      </c>
      <c r="D83" s="40" t="s">
        <v>144</v>
      </c>
      <c r="E83" s="39" t="s">
        <v>137</v>
      </c>
      <c r="F83" s="40" t="s">
        <v>138</v>
      </c>
      <c r="G83" s="40" t="s">
        <v>147</v>
      </c>
      <c r="H83" s="38" t="s">
        <v>140</v>
      </c>
      <c r="I83" s="38" t="s">
        <v>145</v>
      </c>
      <c r="J83" s="38" t="s">
        <v>146</v>
      </c>
      <c r="K83" s="38" t="s">
        <v>142</v>
      </c>
      <c r="L83" s="38" t="s">
        <v>37</v>
      </c>
      <c r="M83" s="38" t="s">
        <v>141</v>
      </c>
      <c r="N83" s="77"/>
      <c r="O83" s="35" t="s">
        <v>148</v>
      </c>
      <c r="P83" s="39" t="s">
        <v>143</v>
      </c>
      <c r="Q83" s="40" t="s">
        <v>144</v>
      </c>
      <c r="R83" s="39" t="s">
        <v>137</v>
      </c>
      <c r="S83" s="40" t="s">
        <v>138</v>
      </c>
      <c r="T83" s="40" t="s">
        <v>147</v>
      </c>
      <c r="U83" s="38" t="s">
        <v>140</v>
      </c>
      <c r="V83" s="38" t="s">
        <v>145</v>
      </c>
      <c r="W83" s="38" t="s">
        <v>146</v>
      </c>
      <c r="X83" s="38" t="s">
        <v>142</v>
      </c>
      <c r="Y83" s="38" t="s">
        <v>37</v>
      </c>
      <c r="Z83" s="38" t="s">
        <v>141</v>
      </c>
    </row>
    <row r="84" spans="1:26" ht="12.75">
      <c r="A84" s="42" t="s">
        <v>106</v>
      </c>
      <c r="B84" s="42" t="s">
        <v>115</v>
      </c>
      <c r="C84" s="44" t="s">
        <v>114</v>
      </c>
      <c r="D84" s="43" t="s">
        <v>112</v>
      </c>
      <c r="E84" s="44" t="s">
        <v>108</v>
      </c>
      <c r="F84" s="43" t="s">
        <v>38</v>
      </c>
      <c r="G84" s="43" t="s">
        <v>39</v>
      </c>
      <c r="H84" s="42" t="s">
        <v>40</v>
      </c>
      <c r="I84" s="42" t="s">
        <v>41</v>
      </c>
      <c r="J84" s="42" t="s">
        <v>38</v>
      </c>
      <c r="K84" s="45" t="s">
        <v>42</v>
      </c>
      <c r="L84" s="42" t="s">
        <v>42</v>
      </c>
      <c r="M84" s="42" t="s">
        <v>110</v>
      </c>
      <c r="N84" s="73"/>
      <c r="O84" s="42" t="s">
        <v>106</v>
      </c>
      <c r="P84" s="44" t="s">
        <v>114</v>
      </c>
      <c r="Q84" s="43" t="s">
        <v>112</v>
      </c>
      <c r="R84" s="44" t="s">
        <v>108</v>
      </c>
      <c r="S84" s="43" t="s">
        <v>38</v>
      </c>
      <c r="T84" s="43" t="s">
        <v>39</v>
      </c>
      <c r="U84" s="42" t="s">
        <v>40</v>
      </c>
      <c r="V84" s="42" t="s">
        <v>41</v>
      </c>
      <c r="W84" s="42" t="s">
        <v>38</v>
      </c>
      <c r="X84" s="45" t="s">
        <v>42</v>
      </c>
      <c r="Y84" s="42" t="s">
        <v>42</v>
      </c>
      <c r="Z84" s="42" t="s">
        <v>110</v>
      </c>
    </row>
    <row r="85" spans="1:26" ht="12.75">
      <c r="A85" s="109">
        <v>36209</v>
      </c>
      <c r="B85" s="110">
        <v>0.34722222222222227</v>
      </c>
      <c r="C85" s="111">
        <v>50</v>
      </c>
      <c r="D85" s="112">
        <v>7.17</v>
      </c>
      <c r="E85" s="111">
        <v>386</v>
      </c>
      <c r="F85" s="112">
        <v>10.12</v>
      </c>
      <c r="G85" s="112">
        <v>1</v>
      </c>
      <c r="H85" s="114">
        <v>13</v>
      </c>
      <c r="I85" s="115">
        <v>0.25</v>
      </c>
      <c r="J85" s="114">
        <v>0.05</v>
      </c>
      <c r="K85" s="116">
        <v>0.005</v>
      </c>
      <c r="L85" s="114">
        <v>0.12</v>
      </c>
      <c r="M85" s="114">
        <v>70</v>
      </c>
      <c r="N85" s="77"/>
      <c r="O85" s="35" t="s">
        <v>0</v>
      </c>
      <c r="P85" s="10">
        <f>C85</f>
        <v>50</v>
      </c>
      <c r="Q85" s="10">
        <f aca="true" t="shared" si="11" ref="Q85:Z85">D85</f>
        <v>7.17</v>
      </c>
      <c r="R85" s="10">
        <f t="shared" si="11"/>
        <v>386</v>
      </c>
      <c r="S85" s="10">
        <f t="shared" si="11"/>
        <v>10.12</v>
      </c>
      <c r="T85" s="10">
        <f t="shared" si="11"/>
        <v>1</v>
      </c>
      <c r="U85" s="10">
        <f t="shared" si="11"/>
        <v>13</v>
      </c>
      <c r="V85" s="11">
        <f t="shared" si="11"/>
        <v>0.25</v>
      </c>
      <c r="W85" s="11">
        <f t="shared" si="11"/>
        <v>0.05</v>
      </c>
      <c r="X85" s="11">
        <f t="shared" si="11"/>
        <v>0.005</v>
      </c>
      <c r="Y85" s="11">
        <f t="shared" si="11"/>
        <v>0.12</v>
      </c>
      <c r="Z85" s="10">
        <f t="shared" si="11"/>
        <v>70</v>
      </c>
    </row>
    <row r="86" spans="1:26" ht="12.75">
      <c r="A86" s="109">
        <v>36229</v>
      </c>
      <c r="B86" s="110">
        <v>0.2986111111111111</v>
      </c>
      <c r="C86" s="111">
        <v>45.7</v>
      </c>
      <c r="D86" s="112">
        <v>6.39</v>
      </c>
      <c r="E86" s="111">
        <v>271</v>
      </c>
      <c r="F86" s="112">
        <v>13.35</v>
      </c>
      <c r="G86" s="112">
        <v>2.2</v>
      </c>
      <c r="H86" s="114">
        <v>1</v>
      </c>
      <c r="I86" s="115">
        <v>0.13</v>
      </c>
      <c r="J86" s="114">
        <v>0.05</v>
      </c>
      <c r="K86" s="116">
        <v>0.005</v>
      </c>
      <c r="L86" s="114">
        <v>0.01</v>
      </c>
      <c r="M86" s="114">
        <v>5</v>
      </c>
      <c r="N86" s="77"/>
      <c r="O86" s="35" t="s">
        <v>1</v>
      </c>
      <c r="P86" s="10">
        <f>AVERAGE(C86:C87)</f>
        <v>39.95</v>
      </c>
      <c r="Q86" s="10">
        <f aca="true" t="shared" si="12" ref="Q86:Z86">AVERAGE(D86:D87)</f>
        <v>6.265</v>
      </c>
      <c r="R86" s="10">
        <f t="shared" si="12"/>
        <v>314</v>
      </c>
      <c r="S86" s="10">
        <f t="shared" si="12"/>
        <v>12.719999999999999</v>
      </c>
      <c r="T86" s="10">
        <f t="shared" si="12"/>
        <v>4.2</v>
      </c>
      <c r="U86" s="10">
        <f t="shared" si="12"/>
        <v>1</v>
      </c>
      <c r="V86" s="11">
        <f t="shared" si="12"/>
        <v>0.14</v>
      </c>
      <c r="W86" s="11">
        <f t="shared" si="12"/>
        <v>0.07</v>
      </c>
      <c r="X86" s="11">
        <f t="shared" si="12"/>
        <v>0.005</v>
      </c>
      <c r="Y86" s="11">
        <f t="shared" si="12"/>
        <v>0.01</v>
      </c>
      <c r="Z86" s="10">
        <f t="shared" si="12"/>
        <v>5</v>
      </c>
    </row>
    <row r="87" spans="1:26" ht="12.75">
      <c r="A87" s="109">
        <v>36243</v>
      </c>
      <c r="B87" s="110">
        <v>0.34375</v>
      </c>
      <c r="C87" s="111">
        <v>34.2</v>
      </c>
      <c r="D87" s="112">
        <v>6.14</v>
      </c>
      <c r="E87" s="111">
        <v>357</v>
      </c>
      <c r="F87" s="112">
        <v>12.09</v>
      </c>
      <c r="G87" s="112">
        <v>6.2</v>
      </c>
      <c r="H87" s="114">
        <v>1</v>
      </c>
      <c r="I87" s="115">
        <v>0.15</v>
      </c>
      <c r="J87" s="114">
        <v>0.09</v>
      </c>
      <c r="K87" s="116">
        <v>0.005</v>
      </c>
      <c r="L87" s="114">
        <v>0.01</v>
      </c>
      <c r="M87" s="114">
        <v>5</v>
      </c>
      <c r="N87" s="77"/>
      <c r="O87" s="35" t="s">
        <v>2</v>
      </c>
      <c r="P87" s="10">
        <f>C88</f>
        <v>41.6</v>
      </c>
      <c r="Q87" s="10">
        <f aca="true" t="shared" si="13" ref="Q87:Z89">D88</f>
        <v>6.2</v>
      </c>
      <c r="R87" s="10">
        <f t="shared" si="13"/>
        <v>267</v>
      </c>
      <c r="S87" s="10">
        <f t="shared" si="13"/>
        <v>13.02</v>
      </c>
      <c r="T87" s="10">
        <f t="shared" si="13"/>
        <v>1.3</v>
      </c>
      <c r="U87" s="10">
        <f t="shared" si="13"/>
        <v>2</v>
      </c>
      <c r="V87" s="11">
        <f t="shared" si="13"/>
        <v>0.21</v>
      </c>
      <c r="W87" s="11">
        <f t="shared" si="13"/>
        <v>0.05</v>
      </c>
      <c r="X87" s="11">
        <f t="shared" si="13"/>
        <v>0.005</v>
      </c>
      <c r="Y87" s="11">
        <f t="shared" si="13"/>
        <v>0.01</v>
      </c>
      <c r="Z87" s="10">
        <f t="shared" si="13"/>
        <v>22</v>
      </c>
    </row>
    <row r="88" spans="1:26" ht="12.75">
      <c r="A88" s="109">
        <v>36265</v>
      </c>
      <c r="B88" s="110">
        <v>0.2916666666666667</v>
      </c>
      <c r="C88" s="111">
        <v>41.6</v>
      </c>
      <c r="D88" s="112">
        <v>6.2</v>
      </c>
      <c r="E88" s="111">
        <v>267</v>
      </c>
      <c r="F88" s="112">
        <v>13.02</v>
      </c>
      <c r="G88" s="112">
        <v>1.3</v>
      </c>
      <c r="H88" s="114">
        <v>2</v>
      </c>
      <c r="I88" s="115">
        <v>0.21</v>
      </c>
      <c r="J88" s="114">
        <v>0.05</v>
      </c>
      <c r="K88" s="116">
        <v>0.005</v>
      </c>
      <c r="L88" s="114">
        <v>0.01</v>
      </c>
      <c r="M88" s="114">
        <v>22</v>
      </c>
      <c r="N88" s="73"/>
      <c r="O88" s="35" t="s">
        <v>3</v>
      </c>
      <c r="P88" s="10">
        <f>C89</f>
        <v>130</v>
      </c>
      <c r="Q88" s="10">
        <f t="shared" si="13"/>
        <v>7.01</v>
      </c>
      <c r="R88" s="10">
        <f t="shared" si="13"/>
        <v>154</v>
      </c>
      <c r="S88" s="10">
        <f t="shared" si="13"/>
        <v>15.28</v>
      </c>
      <c r="T88" s="10">
        <f t="shared" si="13"/>
        <v>9.9</v>
      </c>
      <c r="U88" s="10">
        <f t="shared" si="13"/>
        <v>6</v>
      </c>
      <c r="V88" s="11">
        <f t="shared" si="13"/>
        <v>0.08</v>
      </c>
      <c r="W88" s="11">
        <f t="shared" si="13"/>
        <v>0.05</v>
      </c>
      <c r="X88" s="11">
        <f t="shared" si="13"/>
        <v>0.01</v>
      </c>
      <c r="Y88" s="11">
        <f t="shared" si="13"/>
        <v>0.02</v>
      </c>
      <c r="Z88" s="10">
        <f t="shared" si="13"/>
        <v>18</v>
      </c>
    </row>
    <row r="89" spans="1:26" ht="12.75">
      <c r="A89" s="109">
        <v>36299</v>
      </c>
      <c r="B89" s="110">
        <v>0.3541666666666667</v>
      </c>
      <c r="C89" s="111">
        <v>130</v>
      </c>
      <c r="D89" s="112">
        <v>7.01</v>
      </c>
      <c r="E89" s="111">
        <v>154</v>
      </c>
      <c r="F89" s="112">
        <v>15.28</v>
      </c>
      <c r="G89" s="112">
        <v>9.9</v>
      </c>
      <c r="H89" s="114">
        <v>6</v>
      </c>
      <c r="I89" s="115">
        <v>0.08</v>
      </c>
      <c r="J89" s="114">
        <v>0.05</v>
      </c>
      <c r="K89" s="116">
        <v>0.01</v>
      </c>
      <c r="L89" s="114">
        <v>0.02</v>
      </c>
      <c r="M89" s="114">
        <v>18</v>
      </c>
      <c r="N89" s="70"/>
      <c r="O89" s="35" t="s">
        <v>4</v>
      </c>
      <c r="P89" s="17">
        <f>C90</f>
        <v>802</v>
      </c>
      <c r="Q89" s="17">
        <f t="shared" si="13"/>
        <v>5.18</v>
      </c>
      <c r="R89" s="17">
        <f t="shared" si="13"/>
        <v>218</v>
      </c>
      <c r="S89" s="17">
        <f t="shared" si="13"/>
        <v>9.39</v>
      </c>
      <c r="T89" s="17">
        <f t="shared" si="13"/>
        <v>10.7</v>
      </c>
      <c r="U89" s="17">
        <f t="shared" si="13"/>
        <v>29</v>
      </c>
      <c r="V89" s="11">
        <f t="shared" si="13"/>
        <v>0.07</v>
      </c>
      <c r="W89" s="11">
        <f t="shared" si="13"/>
        <v>0.06</v>
      </c>
      <c r="X89" s="11">
        <f t="shared" si="13"/>
        <v>0.005</v>
      </c>
      <c r="Y89" s="11">
        <f t="shared" si="13"/>
        <v>0.02</v>
      </c>
      <c r="Z89" s="17">
        <f t="shared" si="13"/>
        <v>5</v>
      </c>
    </row>
    <row r="90" spans="1:26" ht="12.75">
      <c r="A90" s="109">
        <v>36320</v>
      </c>
      <c r="B90" s="110">
        <v>0.375</v>
      </c>
      <c r="C90" s="111">
        <v>802</v>
      </c>
      <c r="D90" s="112">
        <v>5.18</v>
      </c>
      <c r="E90" s="111">
        <v>218</v>
      </c>
      <c r="F90" s="112">
        <v>9.39</v>
      </c>
      <c r="G90" s="112">
        <v>10.7</v>
      </c>
      <c r="H90" s="114">
        <v>29</v>
      </c>
      <c r="I90" s="115">
        <v>0.07</v>
      </c>
      <c r="J90" s="114">
        <v>0.06</v>
      </c>
      <c r="K90" s="116">
        <v>0.005</v>
      </c>
      <c r="L90" s="114">
        <v>0.02</v>
      </c>
      <c r="M90" s="114">
        <v>5</v>
      </c>
      <c r="N90" s="70"/>
      <c r="O90" s="35" t="s">
        <v>5</v>
      </c>
      <c r="P90" s="17">
        <f>AVERAGE(C92:C93)</f>
        <v>485.5</v>
      </c>
      <c r="Q90" s="17">
        <f aca="true" t="shared" si="14" ref="Q90:Z90">AVERAGE(D92:D93)</f>
        <v>7.005</v>
      </c>
      <c r="R90" s="17">
        <f t="shared" si="14"/>
        <v>216.5</v>
      </c>
      <c r="S90" s="17">
        <f t="shared" si="14"/>
        <v>8.57</v>
      </c>
      <c r="T90" s="17">
        <f t="shared" si="14"/>
        <v>15.9</v>
      </c>
      <c r="U90" s="17">
        <f t="shared" si="14"/>
        <v>13</v>
      </c>
      <c r="V90" s="11">
        <f t="shared" si="14"/>
        <v>0.04</v>
      </c>
      <c r="W90" s="11">
        <f t="shared" si="14"/>
        <v>0.055</v>
      </c>
      <c r="X90" s="11">
        <f t="shared" si="14"/>
        <v>0.005</v>
      </c>
      <c r="Y90" s="11">
        <f t="shared" si="14"/>
        <v>0.0085</v>
      </c>
      <c r="Z90" s="17">
        <f t="shared" si="14"/>
        <v>5</v>
      </c>
    </row>
    <row r="91" spans="1:26" ht="12.75">
      <c r="A91" s="109">
        <v>36320</v>
      </c>
      <c r="B91" s="111">
        <v>9999</v>
      </c>
      <c r="C91" s="111">
        <v>802</v>
      </c>
      <c r="D91" s="112">
        <v>5.18</v>
      </c>
      <c r="E91" s="111">
        <v>218</v>
      </c>
      <c r="F91" s="112">
        <v>9.39</v>
      </c>
      <c r="G91" s="112">
        <v>10.7</v>
      </c>
      <c r="H91" s="114">
        <v>24</v>
      </c>
      <c r="I91" s="115">
        <v>0.05</v>
      </c>
      <c r="J91" s="114">
        <v>0.09</v>
      </c>
      <c r="K91" s="116">
        <v>0.012</v>
      </c>
      <c r="L91" s="114">
        <v>0.02</v>
      </c>
      <c r="M91" s="114">
        <v>10</v>
      </c>
      <c r="N91" s="77"/>
      <c r="O91" s="35" t="s">
        <v>6</v>
      </c>
      <c r="P91" s="17">
        <f>AVERAGE(C94:C96)</f>
        <v>550</v>
      </c>
      <c r="Q91" s="17">
        <f aca="true" t="shared" si="15" ref="Q91:Z91">AVERAGE(D94:D96)</f>
        <v>6.796666666666667</v>
      </c>
      <c r="R91" s="17">
        <f t="shared" si="15"/>
        <v>176.33333333333334</v>
      </c>
      <c r="S91" s="17">
        <f t="shared" si="15"/>
        <v>8.81</v>
      </c>
      <c r="T91" s="17">
        <f t="shared" si="15"/>
        <v>14.799999999999999</v>
      </c>
      <c r="U91" s="17">
        <f t="shared" si="15"/>
        <v>45.5</v>
      </c>
      <c r="V91" s="11">
        <f t="shared" si="15"/>
        <v>0.09000000000000001</v>
      </c>
      <c r="W91" s="11">
        <f t="shared" si="15"/>
        <v>0.10666666666666667</v>
      </c>
      <c r="X91" s="11">
        <f t="shared" si="15"/>
        <v>0.018</v>
      </c>
      <c r="Y91" s="11">
        <f t="shared" si="15"/>
        <v>0.02333333333333333</v>
      </c>
      <c r="Z91" s="17">
        <f t="shared" si="15"/>
        <v>10</v>
      </c>
    </row>
    <row r="92" spans="1:26" ht="12.75">
      <c r="A92" s="109">
        <v>36348</v>
      </c>
      <c r="B92" s="110">
        <v>0.2986111111111111</v>
      </c>
      <c r="C92" s="111">
        <v>448</v>
      </c>
      <c r="D92" s="112">
        <v>6.75</v>
      </c>
      <c r="E92" s="111">
        <v>226</v>
      </c>
      <c r="F92" s="112">
        <v>9.96</v>
      </c>
      <c r="G92" s="112">
        <v>15.7</v>
      </c>
      <c r="H92" s="114">
        <v>13</v>
      </c>
      <c r="I92" s="115">
        <v>0.05</v>
      </c>
      <c r="J92" s="114">
        <v>0.06</v>
      </c>
      <c r="K92" s="116">
        <v>0.005</v>
      </c>
      <c r="L92" s="114">
        <v>0.01</v>
      </c>
      <c r="M92" s="114">
        <v>5</v>
      </c>
      <c r="N92" s="77"/>
      <c r="O92" s="35" t="s">
        <v>7</v>
      </c>
      <c r="P92" s="17">
        <f>AVERAGE(C97:C98)</f>
        <v>67.15</v>
      </c>
      <c r="Q92" s="17">
        <f aca="true" t="shared" si="16" ref="Q92:Z92">AVERAGE(D97:D98)</f>
        <v>6.67</v>
      </c>
      <c r="R92" s="17">
        <f t="shared" si="16"/>
        <v>225</v>
      </c>
      <c r="S92" s="17">
        <f t="shared" si="16"/>
        <v>8.03</v>
      </c>
      <c r="T92" s="17">
        <f t="shared" si="16"/>
        <v>13.75</v>
      </c>
      <c r="U92" s="17">
        <f t="shared" si="16"/>
        <v>9</v>
      </c>
      <c r="V92" s="11">
        <f t="shared" si="16"/>
        <v>0.03</v>
      </c>
      <c r="W92" s="11">
        <f t="shared" si="16"/>
        <v>0.05</v>
      </c>
      <c r="X92" s="11">
        <f t="shared" si="16"/>
        <v>0.0125</v>
      </c>
      <c r="Y92" s="11">
        <f t="shared" si="16"/>
        <v>0.0075</v>
      </c>
      <c r="Z92" s="17">
        <f t="shared" si="16"/>
        <v>5.5</v>
      </c>
    </row>
    <row r="93" spans="1:26" ht="12.75">
      <c r="A93" s="109">
        <v>36362</v>
      </c>
      <c r="B93" s="110">
        <v>0.34027777777777773</v>
      </c>
      <c r="C93" s="111">
        <v>523</v>
      </c>
      <c r="D93" s="112">
        <v>7.26</v>
      </c>
      <c r="E93" s="111">
        <v>207</v>
      </c>
      <c r="F93" s="112">
        <v>7.18</v>
      </c>
      <c r="G93" s="112">
        <v>16.1</v>
      </c>
      <c r="H93" s="114"/>
      <c r="I93" s="115">
        <v>0.03</v>
      </c>
      <c r="J93" s="114">
        <v>0.05</v>
      </c>
      <c r="K93" s="119">
        <v>0.005</v>
      </c>
      <c r="L93" s="114">
        <v>0.007</v>
      </c>
      <c r="M93" s="114">
        <v>5</v>
      </c>
      <c r="N93" s="77"/>
      <c r="O93" s="35" t="s">
        <v>8</v>
      </c>
      <c r="P93" s="10">
        <f>C99</f>
        <v>32.4</v>
      </c>
      <c r="Q93" s="10">
        <f aca="true" t="shared" si="17" ref="Q93:Z93">D99</f>
        <v>6.77</v>
      </c>
      <c r="R93" s="10">
        <f t="shared" si="17"/>
        <v>283</v>
      </c>
      <c r="S93" s="10">
        <f t="shared" si="17"/>
        <v>8.5</v>
      </c>
      <c r="T93" s="10">
        <f t="shared" si="17"/>
        <v>8.8</v>
      </c>
      <c r="U93" s="10">
        <f t="shared" si="17"/>
        <v>6</v>
      </c>
      <c r="V93" s="11">
        <f t="shared" si="17"/>
        <v>0.13</v>
      </c>
      <c r="W93" s="11">
        <f t="shared" si="17"/>
        <v>0.07</v>
      </c>
      <c r="X93" s="11">
        <f t="shared" si="17"/>
        <v>0.008</v>
      </c>
      <c r="Y93" s="11">
        <f t="shared" si="17"/>
        <v>0.01</v>
      </c>
      <c r="Z93" s="10">
        <f t="shared" si="17"/>
        <v>10</v>
      </c>
    </row>
    <row r="94" spans="1:26" ht="12.75">
      <c r="A94" s="109">
        <v>36376</v>
      </c>
      <c r="B94" s="110">
        <v>0.2916666666666667</v>
      </c>
      <c r="C94" s="111">
        <v>675</v>
      </c>
      <c r="D94" s="112">
        <v>6.75</v>
      </c>
      <c r="E94" s="111">
        <v>159</v>
      </c>
      <c r="F94" s="112">
        <v>9.8</v>
      </c>
      <c r="G94" s="112">
        <v>14.7</v>
      </c>
      <c r="H94" s="114">
        <v>24</v>
      </c>
      <c r="I94" s="115">
        <v>0.14</v>
      </c>
      <c r="J94" s="117">
        <v>0.17</v>
      </c>
      <c r="K94" s="119">
        <v>0.024</v>
      </c>
      <c r="L94" s="117">
        <v>0.03</v>
      </c>
      <c r="M94" s="117">
        <v>10</v>
      </c>
      <c r="N94" s="77"/>
      <c r="O94" s="35" t="s">
        <v>9</v>
      </c>
      <c r="P94" s="10">
        <f>C100</f>
        <v>33</v>
      </c>
      <c r="Q94" s="10">
        <f aca="true" t="shared" si="18" ref="Q94:Z94">D100</f>
        <v>6.01</v>
      </c>
      <c r="R94" s="10">
        <f t="shared" si="18"/>
        <v>306</v>
      </c>
      <c r="S94" s="10">
        <f t="shared" si="18"/>
        <v>13.08</v>
      </c>
      <c r="T94" s="10">
        <f t="shared" si="18"/>
        <v>4.7</v>
      </c>
      <c r="U94" s="10">
        <f t="shared" si="18"/>
        <v>110</v>
      </c>
      <c r="V94" s="11">
        <f t="shared" si="18"/>
        <v>0.07</v>
      </c>
      <c r="W94" s="11">
        <f t="shared" si="18"/>
        <v>0.05</v>
      </c>
      <c r="X94" s="11">
        <f t="shared" si="18"/>
        <v>0.005</v>
      </c>
      <c r="Y94" s="11">
        <f t="shared" si="18"/>
        <v>0.01</v>
      </c>
      <c r="Z94" s="10">
        <f t="shared" si="18"/>
        <v>5</v>
      </c>
    </row>
    <row r="95" spans="1:26" ht="12.75">
      <c r="A95" s="109">
        <v>36376</v>
      </c>
      <c r="B95" s="111">
        <v>9999</v>
      </c>
      <c r="C95" s="111">
        <v>675</v>
      </c>
      <c r="D95" s="112">
        <v>6.75</v>
      </c>
      <c r="E95" s="111">
        <v>159</v>
      </c>
      <c r="F95" s="112">
        <v>9.8</v>
      </c>
      <c r="G95" s="112">
        <v>14.7</v>
      </c>
      <c r="H95" s="114">
        <v>67</v>
      </c>
      <c r="I95" s="115">
        <v>0.09</v>
      </c>
      <c r="J95" s="117">
        <v>0.1</v>
      </c>
      <c r="K95" s="119">
        <v>0.022</v>
      </c>
      <c r="L95" s="117">
        <v>0.03</v>
      </c>
      <c r="M95" s="117">
        <v>12</v>
      </c>
      <c r="N95" s="73"/>
      <c r="O95" s="35" t="s">
        <v>10</v>
      </c>
      <c r="P95" s="10">
        <f>C101</f>
        <v>56.4</v>
      </c>
      <c r="Q95" s="10">
        <f aca="true" t="shared" si="19" ref="Q95:Z95">D101</f>
        <v>5.79</v>
      </c>
      <c r="R95" s="10">
        <f t="shared" si="19"/>
        <v>291</v>
      </c>
      <c r="S95" s="10">
        <f t="shared" si="19"/>
        <v>11.57</v>
      </c>
      <c r="T95" s="10">
        <f t="shared" si="19"/>
        <v>0.4</v>
      </c>
      <c r="U95" s="10">
        <f t="shared" si="19"/>
        <v>1</v>
      </c>
      <c r="V95" s="11">
        <f t="shared" si="19"/>
        <v>0.12</v>
      </c>
      <c r="W95" s="11">
        <f t="shared" si="19"/>
        <v>0.09</v>
      </c>
      <c r="X95" s="11">
        <f t="shared" si="19"/>
        <v>0.006</v>
      </c>
      <c r="Y95" s="11">
        <f t="shared" si="19"/>
        <v>0.01</v>
      </c>
      <c r="Z95" s="10">
        <f t="shared" si="19"/>
        <v>5</v>
      </c>
    </row>
    <row r="96" spans="1:26" ht="12.75">
      <c r="A96" s="109">
        <v>36390</v>
      </c>
      <c r="B96" s="110">
        <v>0.3194444444444445</v>
      </c>
      <c r="C96" s="111">
        <v>300</v>
      </c>
      <c r="D96" s="112">
        <v>6.89</v>
      </c>
      <c r="E96" s="111">
        <v>211</v>
      </c>
      <c r="F96" s="112">
        <v>6.83</v>
      </c>
      <c r="G96" s="112">
        <v>15</v>
      </c>
      <c r="H96" s="114"/>
      <c r="I96" s="120">
        <v>0.04</v>
      </c>
      <c r="J96" s="114">
        <v>0.05</v>
      </c>
      <c r="K96" s="119">
        <v>0.008</v>
      </c>
      <c r="L96" s="114">
        <v>0.01</v>
      </c>
      <c r="M96" s="117">
        <v>8</v>
      </c>
      <c r="N96" s="77"/>
      <c r="O96" s="10" t="s">
        <v>149</v>
      </c>
      <c r="P96" s="17">
        <f aca="true" t="shared" si="20" ref="P96:Z96">AVERAGE(P85:P95)</f>
        <v>208.00000000000003</v>
      </c>
      <c r="Q96" s="13">
        <f t="shared" si="20"/>
        <v>6.442424242424243</v>
      </c>
      <c r="R96" s="17">
        <f t="shared" si="20"/>
        <v>257.8939393939394</v>
      </c>
      <c r="S96" s="164">
        <f t="shared" si="20"/>
        <v>10.826363636363636</v>
      </c>
      <c r="T96" s="164">
        <f t="shared" si="20"/>
        <v>7.7681818181818185</v>
      </c>
      <c r="U96" s="10">
        <f t="shared" si="20"/>
        <v>21.40909090909091</v>
      </c>
      <c r="V96" s="11">
        <f t="shared" si="20"/>
        <v>0.11181818181818182</v>
      </c>
      <c r="W96" s="11">
        <f t="shared" si="20"/>
        <v>0.0637878787878788</v>
      </c>
      <c r="X96" s="11">
        <f t="shared" si="20"/>
        <v>0.007681818181818184</v>
      </c>
      <c r="Y96" s="11">
        <f t="shared" si="20"/>
        <v>0.02266666666666667</v>
      </c>
      <c r="Z96" s="17">
        <f t="shared" si="20"/>
        <v>14.590909090909092</v>
      </c>
    </row>
    <row r="97" spans="1:14" ht="12.75">
      <c r="A97" s="109">
        <v>36404</v>
      </c>
      <c r="B97" s="110">
        <v>0.2916666666666667</v>
      </c>
      <c r="C97" s="111">
        <v>68.4</v>
      </c>
      <c r="D97" s="112">
        <v>6.43</v>
      </c>
      <c r="E97" s="111">
        <v>190</v>
      </c>
      <c r="F97" s="112">
        <v>8.59</v>
      </c>
      <c r="G97" s="112">
        <v>14.9</v>
      </c>
      <c r="H97" s="114">
        <v>9</v>
      </c>
      <c r="I97" s="115">
        <v>0.03</v>
      </c>
      <c r="J97" s="114">
        <v>0.05</v>
      </c>
      <c r="K97" s="116">
        <v>0.005</v>
      </c>
      <c r="L97" s="114">
        <v>0.01</v>
      </c>
      <c r="M97" s="114">
        <v>5</v>
      </c>
      <c r="N97" s="77"/>
    </row>
    <row r="98" spans="1:14" ht="12.75">
      <c r="A98" s="109">
        <v>36418</v>
      </c>
      <c r="B98" s="110">
        <v>0.34375</v>
      </c>
      <c r="C98" s="111">
        <v>65.9</v>
      </c>
      <c r="D98" s="112">
        <v>6.91</v>
      </c>
      <c r="E98" s="111">
        <v>260</v>
      </c>
      <c r="F98" s="112">
        <v>7.47</v>
      </c>
      <c r="G98" s="112">
        <v>12.6</v>
      </c>
      <c r="H98" s="114"/>
      <c r="I98" s="115">
        <v>0.03</v>
      </c>
      <c r="J98" s="114">
        <v>0.05</v>
      </c>
      <c r="K98" s="116">
        <v>0.02</v>
      </c>
      <c r="L98" s="114">
        <v>0.005</v>
      </c>
      <c r="M98" s="114">
        <v>6</v>
      </c>
      <c r="N98" s="77"/>
    </row>
    <row r="99" spans="1:14" ht="12.75">
      <c r="A99" s="109">
        <v>36446</v>
      </c>
      <c r="B99" s="110">
        <v>0.34722222222222227</v>
      </c>
      <c r="C99" s="111">
        <v>32.4</v>
      </c>
      <c r="D99" s="112">
        <v>6.77</v>
      </c>
      <c r="E99" s="111">
        <v>283</v>
      </c>
      <c r="F99" s="112">
        <v>8.5</v>
      </c>
      <c r="G99" s="112">
        <v>8.8</v>
      </c>
      <c r="H99" s="114">
        <v>6</v>
      </c>
      <c r="I99" s="115">
        <v>0.13</v>
      </c>
      <c r="J99" s="114">
        <v>0.07</v>
      </c>
      <c r="K99" s="116">
        <v>0.008</v>
      </c>
      <c r="L99" s="114">
        <v>0.01</v>
      </c>
      <c r="M99" s="114">
        <v>10</v>
      </c>
      <c r="N99" s="77"/>
    </row>
    <row r="100" spans="1:14" ht="12.75">
      <c r="A100" s="109">
        <v>36474</v>
      </c>
      <c r="B100" s="110">
        <v>0.3541666666666667</v>
      </c>
      <c r="C100" s="111">
        <v>33</v>
      </c>
      <c r="D100" s="112">
        <v>6.01</v>
      </c>
      <c r="E100" s="111">
        <v>306</v>
      </c>
      <c r="F100" s="112">
        <v>13.08</v>
      </c>
      <c r="G100" s="112">
        <v>4.7</v>
      </c>
      <c r="H100" s="114">
        <v>110</v>
      </c>
      <c r="I100" s="115">
        <v>0.07</v>
      </c>
      <c r="J100" s="114">
        <v>0.05</v>
      </c>
      <c r="K100" s="116">
        <v>0.005</v>
      </c>
      <c r="L100" s="114">
        <v>0.01</v>
      </c>
      <c r="M100" s="114">
        <v>5</v>
      </c>
      <c r="N100" s="77"/>
    </row>
    <row r="101" spans="1:14" ht="12.75">
      <c r="A101" s="109">
        <v>36509</v>
      </c>
      <c r="B101" s="110">
        <v>0.3541666666666667</v>
      </c>
      <c r="C101" s="111">
        <v>56.4</v>
      </c>
      <c r="D101" s="112">
        <v>5.79</v>
      </c>
      <c r="E101" s="111">
        <v>291</v>
      </c>
      <c r="F101" s="112">
        <v>11.57</v>
      </c>
      <c r="G101" s="112">
        <v>0.4</v>
      </c>
      <c r="H101" s="114">
        <v>1</v>
      </c>
      <c r="I101" s="115">
        <v>0.12</v>
      </c>
      <c r="J101" s="114">
        <v>0.09</v>
      </c>
      <c r="K101" s="116">
        <v>0.006</v>
      </c>
      <c r="L101" s="114">
        <v>0.01</v>
      </c>
      <c r="M101" s="114">
        <v>5</v>
      </c>
      <c r="N101" s="77"/>
    </row>
    <row r="102" spans="1:14" ht="12.75">
      <c r="A102" s="109">
        <v>36509</v>
      </c>
      <c r="B102" s="111">
        <v>9999</v>
      </c>
      <c r="C102" s="111">
        <v>56.4</v>
      </c>
      <c r="D102" s="112">
        <v>5.79</v>
      </c>
      <c r="E102" s="111">
        <v>291</v>
      </c>
      <c r="F102" s="112">
        <v>11.57</v>
      </c>
      <c r="G102" s="112">
        <v>0.4</v>
      </c>
      <c r="H102" s="114">
        <v>1</v>
      </c>
      <c r="I102" s="115">
        <v>0.14</v>
      </c>
      <c r="J102" s="114">
        <v>0.38</v>
      </c>
      <c r="K102" s="116">
        <v>0.01</v>
      </c>
      <c r="L102" s="114">
        <v>0.03</v>
      </c>
      <c r="M102" s="114">
        <v>5</v>
      </c>
      <c r="N102" s="73"/>
    </row>
    <row r="103" spans="1:14" ht="12.75">
      <c r="A103" s="74" t="s">
        <v>149</v>
      </c>
      <c r="B103" s="75"/>
      <c r="C103" s="67"/>
      <c r="D103" s="67">
        <f>AVERAGE(D85:D102)</f>
        <v>6.4094444444444445</v>
      </c>
      <c r="E103" s="67">
        <f aca="true" t="shared" si="21" ref="E103:M103">AVERAGE(E85:E102)</f>
        <v>247.44444444444446</v>
      </c>
      <c r="F103" s="67">
        <f t="shared" si="21"/>
        <v>10.388333333333332</v>
      </c>
      <c r="G103" s="67">
        <f t="shared" si="21"/>
        <v>8.888888888888891</v>
      </c>
      <c r="H103" s="67">
        <f t="shared" si="21"/>
        <v>20.466666666666665</v>
      </c>
      <c r="I103" s="83">
        <f t="shared" si="21"/>
        <v>0.10055555555555558</v>
      </c>
      <c r="J103" s="83">
        <f t="shared" si="21"/>
        <v>0.08666666666666667</v>
      </c>
      <c r="K103" s="83">
        <f t="shared" si="21"/>
        <v>0.009166666666666667</v>
      </c>
      <c r="L103" s="83">
        <f t="shared" si="21"/>
        <v>0.020666666666666673</v>
      </c>
      <c r="M103" s="67">
        <f t="shared" si="21"/>
        <v>11.722222222222221</v>
      </c>
      <c r="N103" s="77"/>
    </row>
    <row r="104" spans="1:14" ht="12.75">
      <c r="A104" s="74"/>
      <c r="B104" s="75"/>
      <c r="C104" s="67"/>
      <c r="D104" s="67"/>
      <c r="E104" s="67"/>
      <c r="F104" s="67"/>
      <c r="G104" s="67"/>
      <c r="H104" s="80"/>
      <c r="I104" s="70"/>
      <c r="J104" s="68"/>
      <c r="K104" s="71"/>
      <c r="L104" s="71"/>
      <c r="M104" s="70"/>
      <c r="N104" s="77"/>
    </row>
    <row r="105" spans="1:26" s="98" customFormat="1" ht="12.75">
      <c r="A105" s="35" t="s">
        <v>89</v>
      </c>
      <c r="B105" s="35"/>
      <c r="C105" s="38" t="s">
        <v>14</v>
      </c>
      <c r="D105" s="38" t="s">
        <v>150</v>
      </c>
      <c r="E105" s="38" t="s">
        <v>137</v>
      </c>
      <c r="F105" s="38" t="s">
        <v>138</v>
      </c>
      <c r="G105" s="38" t="s">
        <v>147</v>
      </c>
      <c r="H105" s="38" t="s">
        <v>140</v>
      </c>
      <c r="I105" s="38" t="s">
        <v>145</v>
      </c>
      <c r="J105" s="38" t="s">
        <v>146</v>
      </c>
      <c r="K105" s="38" t="s">
        <v>142</v>
      </c>
      <c r="L105" s="38" t="s">
        <v>37</v>
      </c>
      <c r="M105" s="38" t="s">
        <v>141</v>
      </c>
      <c r="N105" s="77"/>
      <c r="O105" s="35" t="s">
        <v>89</v>
      </c>
      <c r="P105" s="38" t="s">
        <v>14</v>
      </c>
      <c r="Q105" s="38" t="s">
        <v>150</v>
      </c>
      <c r="R105" s="38" t="s">
        <v>137</v>
      </c>
      <c r="S105" s="38" t="s">
        <v>138</v>
      </c>
      <c r="T105" s="38" t="s">
        <v>147</v>
      </c>
      <c r="U105" s="38" t="s">
        <v>140</v>
      </c>
      <c r="V105" s="38" t="s">
        <v>145</v>
      </c>
      <c r="W105" s="38" t="s">
        <v>146</v>
      </c>
      <c r="X105" s="38" t="s">
        <v>142</v>
      </c>
      <c r="Y105" s="38" t="s">
        <v>37</v>
      </c>
      <c r="Z105" s="38" t="s">
        <v>141</v>
      </c>
    </row>
    <row r="106" spans="1:26" s="98" customFormat="1" ht="12.75">
      <c r="A106" s="42" t="s">
        <v>106</v>
      </c>
      <c r="B106" s="42" t="s">
        <v>115</v>
      </c>
      <c r="C106" s="46" t="s">
        <v>111</v>
      </c>
      <c r="D106" s="42" t="s">
        <v>112</v>
      </c>
      <c r="E106" s="42" t="s">
        <v>108</v>
      </c>
      <c r="F106" s="42" t="s">
        <v>38</v>
      </c>
      <c r="G106" s="42" t="s">
        <v>39</v>
      </c>
      <c r="H106" s="42" t="s">
        <v>40</v>
      </c>
      <c r="I106" s="42" t="s">
        <v>41</v>
      </c>
      <c r="J106" s="42" t="s">
        <v>38</v>
      </c>
      <c r="K106" s="45" t="s">
        <v>42</v>
      </c>
      <c r="L106" s="42" t="s">
        <v>42</v>
      </c>
      <c r="M106" s="42" t="s">
        <v>110</v>
      </c>
      <c r="N106" s="73"/>
      <c r="O106" s="42" t="s">
        <v>106</v>
      </c>
      <c r="P106" s="46" t="s">
        <v>111</v>
      </c>
      <c r="Q106" s="42" t="s">
        <v>112</v>
      </c>
      <c r="R106" s="42" t="s">
        <v>108</v>
      </c>
      <c r="S106" s="42" t="s">
        <v>38</v>
      </c>
      <c r="T106" s="42" t="s">
        <v>39</v>
      </c>
      <c r="U106" s="42" t="s">
        <v>40</v>
      </c>
      <c r="V106" s="42" t="s">
        <v>41</v>
      </c>
      <c r="W106" s="42" t="s">
        <v>38</v>
      </c>
      <c r="X106" s="45" t="s">
        <v>42</v>
      </c>
      <c r="Y106" s="42" t="s">
        <v>42</v>
      </c>
      <c r="Z106" s="42" t="s">
        <v>110</v>
      </c>
    </row>
    <row r="107" spans="1:19" ht="12.75" customHeight="1" hidden="1">
      <c r="A107" s="41" t="s">
        <v>135</v>
      </c>
      <c r="B107" s="41"/>
      <c r="C107" s="99"/>
      <c r="D107" s="41"/>
      <c r="E107" s="41"/>
      <c r="F107" s="41"/>
      <c r="G107" s="41"/>
      <c r="H107" s="41">
        <v>1</v>
      </c>
      <c r="I107" s="41">
        <v>0.02</v>
      </c>
      <c r="J107" s="41">
        <v>0.05</v>
      </c>
      <c r="K107" s="105">
        <v>0.005</v>
      </c>
      <c r="L107" s="41">
        <v>0.01</v>
      </c>
      <c r="M107" s="41">
        <v>5</v>
      </c>
      <c r="N107" s="70"/>
      <c r="O107" s="70"/>
      <c r="P107" s="70"/>
      <c r="Q107" s="70"/>
      <c r="R107" s="70"/>
      <c r="S107" s="7"/>
    </row>
    <row r="108" spans="1:19" ht="12.75" customHeight="1" hidden="1">
      <c r="A108" s="106" t="s">
        <v>136</v>
      </c>
      <c r="B108" s="106"/>
      <c r="C108" s="107"/>
      <c r="D108" s="106"/>
      <c r="E108" s="106"/>
      <c r="F108" s="106"/>
      <c r="G108" s="106"/>
      <c r="H108" s="106">
        <v>1</v>
      </c>
      <c r="I108" s="106">
        <v>0.1</v>
      </c>
      <c r="J108" s="106">
        <v>0.3</v>
      </c>
      <c r="K108" s="108">
        <v>0.03</v>
      </c>
      <c r="L108" s="106">
        <v>0.05</v>
      </c>
      <c r="M108" s="106">
        <v>20</v>
      </c>
      <c r="N108" s="70"/>
      <c r="O108" s="70"/>
      <c r="P108" s="70"/>
      <c r="Q108" s="70"/>
      <c r="R108" s="70"/>
      <c r="S108" s="7"/>
    </row>
    <row r="109" spans="1:19" ht="12.75" customHeight="1" hidden="1">
      <c r="A109" s="41"/>
      <c r="B109" s="41"/>
      <c r="C109" s="99"/>
      <c r="D109" s="41"/>
      <c r="E109" s="41"/>
      <c r="F109" s="41"/>
      <c r="G109" s="41"/>
      <c r="H109" s="41"/>
      <c r="I109" s="41"/>
      <c r="J109" s="41"/>
      <c r="K109" s="47"/>
      <c r="L109" s="41"/>
      <c r="M109" s="41"/>
      <c r="N109" s="72"/>
      <c r="O109" s="70"/>
      <c r="P109" s="70"/>
      <c r="Q109" s="72"/>
      <c r="R109" s="70"/>
      <c r="S109" s="7"/>
    </row>
    <row r="110" spans="1:19" ht="12.75">
      <c r="A110" s="109">
        <v>36209.333333333336</v>
      </c>
      <c r="B110" s="110">
        <v>0.3333333333333333</v>
      </c>
      <c r="C110" s="111">
        <v>18</v>
      </c>
      <c r="D110" s="111">
        <v>5.95</v>
      </c>
      <c r="E110" s="111">
        <v>580</v>
      </c>
      <c r="F110" s="111">
        <v>10.7</v>
      </c>
      <c r="G110" s="111">
        <v>2.1</v>
      </c>
      <c r="H110" s="114">
        <v>20</v>
      </c>
      <c r="I110" s="114">
        <v>1.05</v>
      </c>
      <c r="J110" s="115">
        <v>0.13</v>
      </c>
      <c r="K110" s="116">
        <v>0.044</v>
      </c>
      <c r="L110" s="114">
        <v>0.06</v>
      </c>
      <c r="M110" s="114">
        <v>74</v>
      </c>
      <c r="N110" s="73"/>
      <c r="O110" s="76" t="s">
        <v>88</v>
      </c>
      <c r="P110" s="73"/>
      <c r="Q110" s="73"/>
      <c r="R110" s="73"/>
      <c r="S110" s="7"/>
    </row>
    <row r="111" spans="1:26" ht="12.75" customHeight="1">
      <c r="A111" s="109">
        <v>36229</v>
      </c>
      <c r="B111" s="110">
        <v>0.3159722222222222</v>
      </c>
      <c r="C111" s="111">
        <v>17</v>
      </c>
      <c r="D111" s="111">
        <v>7.07</v>
      </c>
      <c r="E111" s="111">
        <v>420</v>
      </c>
      <c r="F111" s="111">
        <v>10.84</v>
      </c>
      <c r="G111" s="111">
        <v>3.3</v>
      </c>
      <c r="H111" s="114">
        <v>53</v>
      </c>
      <c r="I111" s="114">
        <v>0.65</v>
      </c>
      <c r="J111" s="115">
        <v>0.05</v>
      </c>
      <c r="K111" s="116">
        <v>0.019</v>
      </c>
      <c r="L111" s="114">
        <v>0.04</v>
      </c>
      <c r="M111" s="114">
        <v>28</v>
      </c>
      <c r="N111" s="70"/>
      <c r="O111" s="76" t="s">
        <v>0</v>
      </c>
      <c r="P111" s="10">
        <f>C110</f>
        <v>18</v>
      </c>
      <c r="Q111" s="10">
        <f aca="true" t="shared" si="22" ref="Q111:Z111">D110</f>
        <v>5.95</v>
      </c>
      <c r="R111" s="10">
        <f t="shared" si="22"/>
        <v>580</v>
      </c>
      <c r="S111" s="10">
        <f t="shared" si="22"/>
        <v>10.7</v>
      </c>
      <c r="T111" s="10">
        <f t="shared" si="22"/>
        <v>2.1</v>
      </c>
      <c r="U111" s="10">
        <f t="shared" si="22"/>
        <v>20</v>
      </c>
      <c r="V111" s="11">
        <f t="shared" si="22"/>
        <v>1.05</v>
      </c>
      <c r="W111" s="11">
        <f t="shared" si="22"/>
        <v>0.13</v>
      </c>
      <c r="X111" s="11">
        <f t="shared" si="22"/>
        <v>0.044</v>
      </c>
      <c r="Y111" s="11">
        <f t="shared" si="22"/>
        <v>0.06</v>
      </c>
      <c r="Z111" s="10">
        <f t="shared" si="22"/>
        <v>74</v>
      </c>
    </row>
    <row r="112" spans="1:26" ht="12.75" customHeight="1">
      <c r="A112" s="109">
        <v>36243</v>
      </c>
      <c r="B112" s="110">
        <v>0.3229166666666667</v>
      </c>
      <c r="C112" s="111">
        <v>15</v>
      </c>
      <c r="D112" s="111">
        <v>5.1</v>
      </c>
      <c r="E112" s="111">
        <v>575</v>
      </c>
      <c r="F112" s="111">
        <v>11.19</v>
      </c>
      <c r="G112" s="111">
        <v>7.8</v>
      </c>
      <c r="H112" s="114">
        <v>48</v>
      </c>
      <c r="I112" s="114">
        <v>0.24</v>
      </c>
      <c r="J112" s="115">
        <v>0.05</v>
      </c>
      <c r="K112" s="116">
        <v>0.018</v>
      </c>
      <c r="L112" s="114">
        <v>0.04</v>
      </c>
      <c r="M112" s="114">
        <v>72</v>
      </c>
      <c r="N112" s="70"/>
      <c r="O112" s="76" t="s">
        <v>1</v>
      </c>
      <c r="P112" s="10">
        <f>AVERAGE(C111:C112)</f>
        <v>16</v>
      </c>
      <c r="Q112" s="10">
        <f aca="true" t="shared" si="23" ref="Q112:Z112">AVERAGE(D111:D112)</f>
        <v>6.085</v>
      </c>
      <c r="R112" s="10">
        <f t="shared" si="23"/>
        <v>497.5</v>
      </c>
      <c r="S112" s="10">
        <f t="shared" si="23"/>
        <v>11.015</v>
      </c>
      <c r="T112" s="10">
        <f t="shared" si="23"/>
        <v>5.55</v>
      </c>
      <c r="U112" s="10">
        <f t="shared" si="23"/>
        <v>50.5</v>
      </c>
      <c r="V112" s="11">
        <f t="shared" si="23"/>
        <v>0.445</v>
      </c>
      <c r="W112" s="11">
        <f t="shared" si="23"/>
        <v>0.05</v>
      </c>
      <c r="X112" s="11">
        <f t="shared" si="23"/>
        <v>0.0185</v>
      </c>
      <c r="Y112" s="11">
        <f t="shared" si="23"/>
        <v>0.04</v>
      </c>
      <c r="Z112" s="10">
        <f t="shared" si="23"/>
        <v>50</v>
      </c>
    </row>
    <row r="113" spans="1:26" ht="12.75" customHeight="1">
      <c r="A113" s="109">
        <v>36265</v>
      </c>
      <c r="B113" s="110">
        <v>0.3090277777777778</v>
      </c>
      <c r="C113" s="111">
        <v>420</v>
      </c>
      <c r="D113" s="111">
        <v>6.92</v>
      </c>
      <c r="E113" s="111">
        <v>276</v>
      </c>
      <c r="F113" s="111">
        <v>13.19</v>
      </c>
      <c r="G113" s="111">
        <v>0.1</v>
      </c>
      <c r="H113" s="114">
        <v>320</v>
      </c>
      <c r="I113" s="114">
        <v>0.78</v>
      </c>
      <c r="J113" s="115">
        <v>0.21</v>
      </c>
      <c r="K113" s="116">
        <v>0.125</v>
      </c>
      <c r="L113" s="114">
        <v>0.52</v>
      </c>
      <c r="M113" s="114">
        <v>1140</v>
      </c>
      <c r="N113" s="70"/>
      <c r="O113" s="76" t="s">
        <v>2</v>
      </c>
      <c r="P113" s="10">
        <f>C113</f>
        <v>420</v>
      </c>
      <c r="Q113" s="10">
        <f aca="true" t="shared" si="24" ref="Q113:Z114">D113</f>
        <v>6.92</v>
      </c>
      <c r="R113" s="10">
        <f t="shared" si="24"/>
        <v>276</v>
      </c>
      <c r="S113" s="10">
        <f t="shared" si="24"/>
        <v>13.19</v>
      </c>
      <c r="T113" s="10">
        <f t="shared" si="24"/>
        <v>0.1</v>
      </c>
      <c r="U113" s="10">
        <f t="shared" si="24"/>
        <v>320</v>
      </c>
      <c r="V113" s="11">
        <f t="shared" si="24"/>
        <v>0.78</v>
      </c>
      <c r="W113" s="11">
        <f t="shared" si="24"/>
        <v>0.21</v>
      </c>
      <c r="X113" s="11">
        <f t="shared" si="24"/>
        <v>0.125</v>
      </c>
      <c r="Y113" s="11">
        <f t="shared" si="24"/>
        <v>0.52</v>
      </c>
      <c r="Z113" s="10">
        <f t="shared" si="24"/>
        <v>1140</v>
      </c>
    </row>
    <row r="114" spans="1:26" ht="12.75">
      <c r="A114" s="109">
        <v>36299</v>
      </c>
      <c r="B114" s="110">
        <v>0.3333333333333333</v>
      </c>
      <c r="C114" s="111">
        <v>227</v>
      </c>
      <c r="D114" s="111">
        <v>5.84</v>
      </c>
      <c r="E114" s="111">
        <v>332</v>
      </c>
      <c r="F114" s="111">
        <v>10.43</v>
      </c>
      <c r="G114" s="111">
        <v>12.7</v>
      </c>
      <c r="H114" s="114">
        <v>120</v>
      </c>
      <c r="I114" s="115">
        <v>0.4</v>
      </c>
      <c r="J114" s="115">
        <v>0.07</v>
      </c>
      <c r="K114" s="116">
        <v>0.189</v>
      </c>
      <c r="L114" s="115">
        <v>0.2</v>
      </c>
      <c r="M114" s="114">
        <v>252</v>
      </c>
      <c r="N114" s="73"/>
      <c r="O114" s="76" t="s">
        <v>3</v>
      </c>
      <c r="P114" s="10">
        <f>C114</f>
        <v>227</v>
      </c>
      <c r="Q114" s="10">
        <f t="shared" si="24"/>
        <v>5.84</v>
      </c>
      <c r="R114" s="10">
        <f t="shared" si="24"/>
        <v>332</v>
      </c>
      <c r="S114" s="10">
        <f t="shared" si="24"/>
        <v>10.43</v>
      </c>
      <c r="T114" s="10">
        <f t="shared" si="24"/>
        <v>12.7</v>
      </c>
      <c r="U114" s="10">
        <f t="shared" si="24"/>
        <v>120</v>
      </c>
      <c r="V114" s="11">
        <f t="shared" si="24"/>
        <v>0.4</v>
      </c>
      <c r="W114" s="11">
        <f t="shared" si="24"/>
        <v>0.07</v>
      </c>
      <c r="X114" s="11">
        <f t="shared" si="24"/>
        <v>0.189</v>
      </c>
      <c r="Y114" s="11">
        <f t="shared" si="24"/>
        <v>0.2</v>
      </c>
      <c r="Z114" s="10">
        <f t="shared" si="24"/>
        <v>252</v>
      </c>
    </row>
    <row r="115" spans="1:26" ht="12.75">
      <c r="A115" s="109">
        <v>36299</v>
      </c>
      <c r="B115" s="111">
        <v>9999</v>
      </c>
      <c r="C115" s="111">
        <v>227</v>
      </c>
      <c r="D115" s="111">
        <v>5.84</v>
      </c>
      <c r="E115" s="111">
        <v>332</v>
      </c>
      <c r="F115" s="111">
        <v>10.43</v>
      </c>
      <c r="G115" s="111">
        <v>12.7</v>
      </c>
      <c r="H115" s="114">
        <v>100</v>
      </c>
      <c r="I115" s="114">
        <v>0.42</v>
      </c>
      <c r="J115" s="115">
        <v>0.05</v>
      </c>
      <c r="K115" s="116">
        <v>0.211</v>
      </c>
      <c r="L115" s="114">
        <v>0.21</v>
      </c>
      <c r="M115" s="114">
        <v>250</v>
      </c>
      <c r="N115" s="81"/>
      <c r="O115" s="76" t="s">
        <v>4</v>
      </c>
      <c r="P115" s="17">
        <f>C116</f>
        <v>119</v>
      </c>
      <c r="Q115" s="17">
        <f aca="true" t="shared" si="25" ref="Q115:Z115">D116</f>
        <v>5.89</v>
      </c>
      <c r="R115" s="17">
        <f t="shared" si="25"/>
        <v>212</v>
      </c>
      <c r="S115" s="17">
        <f t="shared" si="25"/>
        <v>7.66</v>
      </c>
      <c r="T115" s="17">
        <f t="shared" si="25"/>
        <v>13.9</v>
      </c>
      <c r="U115" s="17">
        <f t="shared" si="25"/>
        <v>110</v>
      </c>
      <c r="V115" s="11">
        <f t="shared" si="25"/>
        <v>0.14</v>
      </c>
      <c r="W115" s="11">
        <f t="shared" si="25"/>
        <v>0.05</v>
      </c>
      <c r="X115" s="11">
        <f t="shared" si="25"/>
        <v>0.038</v>
      </c>
      <c r="Y115" s="11">
        <f t="shared" si="25"/>
        <v>0.22</v>
      </c>
      <c r="Z115" s="17">
        <f t="shared" si="25"/>
        <v>13</v>
      </c>
    </row>
    <row r="116" spans="1:26" ht="12.75">
      <c r="A116" s="109">
        <v>36320</v>
      </c>
      <c r="B116" s="110">
        <v>0.3923611111111111</v>
      </c>
      <c r="C116" s="111">
        <v>119</v>
      </c>
      <c r="D116" s="111">
        <v>5.89</v>
      </c>
      <c r="E116" s="111">
        <v>212</v>
      </c>
      <c r="F116" s="111">
        <v>7.66</v>
      </c>
      <c r="G116" s="111">
        <v>13.9</v>
      </c>
      <c r="H116" s="114">
        <v>110</v>
      </c>
      <c r="I116" s="114">
        <v>0.14</v>
      </c>
      <c r="J116" s="115">
        <v>0.05</v>
      </c>
      <c r="K116" s="116">
        <v>0.038</v>
      </c>
      <c r="L116" s="114">
        <v>0.22</v>
      </c>
      <c r="M116" s="114">
        <v>13</v>
      </c>
      <c r="N116" s="81"/>
      <c r="O116" s="76" t="s">
        <v>5</v>
      </c>
      <c r="P116" s="17">
        <f>AVERAGE(C117:C118)</f>
        <v>28.8</v>
      </c>
      <c r="Q116" s="17">
        <f aca="true" t="shared" si="26" ref="Q116:Z116">AVERAGE(D117:D118)</f>
        <v>6.6850000000000005</v>
      </c>
      <c r="R116" s="17">
        <f t="shared" si="26"/>
        <v>337.5</v>
      </c>
      <c r="S116" s="17">
        <f t="shared" si="26"/>
        <v>6.695</v>
      </c>
      <c r="T116" s="17">
        <f t="shared" si="26"/>
        <v>18.05</v>
      </c>
      <c r="U116" s="17">
        <f t="shared" si="26"/>
        <v>350</v>
      </c>
      <c r="V116" s="11">
        <f t="shared" si="26"/>
        <v>0.28500000000000003</v>
      </c>
      <c r="W116" s="11">
        <f t="shared" si="26"/>
        <v>0.05</v>
      </c>
      <c r="X116" s="11">
        <f t="shared" si="26"/>
        <v>0.0815</v>
      </c>
      <c r="Y116" s="11">
        <f>L117</f>
        <v>0.11</v>
      </c>
      <c r="Z116" s="17">
        <f t="shared" si="26"/>
        <v>106</v>
      </c>
    </row>
    <row r="117" spans="1:26" ht="11.25" customHeight="1">
      <c r="A117" s="109">
        <v>36348</v>
      </c>
      <c r="B117" s="110">
        <v>0.3159722222222222</v>
      </c>
      <c r="C117" s="111">
        <v>21.6</v>
      </c>
      <c r="D117" s="111">
        <v>7.72</v>
      </c>
      <c r="E117" s="111">
        <v>305</v>
      </c>
      <c r="F117" s="111">
        <v>8.89</v>
      </c>
      <c r="G117" s="111">
        <v>18.1</v>
      </c>
      <c r="H117" s="114">
        <v>350</v>
      </c>
      <c r="I117" s="115">
        <v>0.2</v>
      </c>
      <c r="J117" s="115">
        <v>0.05</v>
      </c>
      <c r="K117" s="116">
        <v>0.113</v>
      </c>
      <c r="L117" s="114">
        <v>0.11</v>
      </c>
      <c r="M117" s="114">
        <v>100</v>
      </c>
      <c r="N117" s="35"/>
      <c r="O117" s="76" t="s">
        <v>6</v>
      </c>
      <c r="P117" s="17">
        <f>AVERAGE(C119:C120)</f>
        <v>59</v>
      </c>
      <c r="Q117" s="17">
        <f aca="true" t="shared" si="27" ref="Q117:Z117">AVERAGE(D119:D120)</f>
        <v>6.545</v>
      </c>
      <c r="R117" s="17">
        <f t="shared" si="27"/>
        <v>335</v>
      </c>
      <c r="S117" s="17">
        <f t="shared" si="27"/>
        <v>7.550000000000001</v>
      </c>
      <c r="T117" s="17">
        <f t="shared" si="27"/>
        <v>16.75</v>
      </c>
      <c r="U117" s="17">
        <f t="shared" si="27"/>
        <v>77</v>
      </c>
      <c r="V117" s="11">
        <f t="shared" si="27"/>
        <v>0.605</v>
      </c>
      <c r="W117" s="11">
        <f t="shared" si="27"/>
        <v>0.10500000000000001</v>
      </c>
      <c r="X117" s="11">
        <f t="shared" si="27"/>
        <v>0.1335</v>
      </c>
      <c r="Y117" s="11">
        <f t="shared" si="27"/>
        <v>0.14500000000000002</v>
      </c>
      <c r="Z117" s="17">
        <f t="shared" si="27"/>
        <v>213</v>
      </c>
    </row>
    <row r="118" spans="1:26" ht="11.25" customHeight="1">
      <c r="A118" s="109">
        <v>36362</v>
      </c>
      <c r="B118" s="110">
        <v>0.3229166666666667</v>
      </c>
      <c r="C118" s="111">
        <v>36</v>
      </c>
      <c r="D118" s="111">
        <v>5.65</v>
      </c>
      <c r="E118" s="111">
        <v>370</v>
      </c>
      <c r="F118" s="111">
        <v>4.5</v>
      </c>
      <c r="G118" s="112">
        <v>18</v>
      </c>
      <c r="H118" s="114"/>
      <c r="I118" s="114">
        <v>0.37</v>
      </c>
      <c r="J118" s="120">
        <v>0.05</v>
      </c>
      <c r="K118" s="116">
        <v>0.05</v>
      </c>
      <c r="L118" s="117">
        <v>0.04</v>
      </c>
      <c r="M118" s="114">
        <v>112</v>
      </c>
      <c r="N118" s="38"/>
      <c r="O118" s="76" t="s">
        <v>7</v>
      </c>
      <c r="P118" s="17">
        <f>AVERAGE(C121:C122)</f>
        <v>14.5</v>
      </c>
      <c r="Q118" s="17">
        <f aca="true" t="shared" si="28" ref="Q118:Z118">AVERAGE(D121:D122)</f>
        <v>6.425000000000001</v>
      </c>
      <c r="R118" s="17">
        <f t="shared" si="28"/>
        <v>375</v>
      </c>
      <c r="S118" s="17">
        <f t="shared" si="28"/>
        <v>7.175</v>
      </c>
      <c r="T118" s="17">
        <f t="shared" si="28"/>
        <v>14.45</v>
      </c>
      <c r="U118" s="17">
        <f t="shared" si="28"/>
        <v>560</v>
      </c>
      <c r="V118" s="11">
        <f t="shared" si="28"/>
        <v>0.735</v>
      </c>
      <c r="W118" s="11">
        <f t="shared" si="28"/>
        <v>0.065</v>
      </c>
      <c r="X118" s="11">
        <f t="shared" si="28"/>
        <v>0.0815</v>
      </c>
      <c r="Y118" s="11">
        <f t="shared" si="28"/>
        <v>0.115</v>
      </c>
      <c r="Z118" s="17">
        <f t="shared" si="28"/>
        <v>152</v>
      </c>
    </row>
    <row r="119" spans="1:26" ht="12.75">
      <c r="A119" s="109">
        <v>36376</v>
      </c>
      <c r="B119" s="110">
        <v>0.3090277777777778</v>
      </c>
      <c r="C119" s="111">
        <v>56</v>
      </c>
      <c r="D119" s="111">
        <v>7.55</v>
      </c>
      <c r="E119" s="111">
        <v>328</v>
      </c>
      <c r="F119" s="111">
        <v>8.66</v>
      </c>
      <c r="G119" s="111">
        <v>17.7</v>
      </c>
      <c r="H119" s="114">
        <v>77</v>
      </c>
      <c r="I119" s="114">
        <v>0.73</v>
      </c>
      <c r="J119" s="120">
        <v>0.07</v>
      </c>
      <c r="K119" s="116">
        <v>0.192</v>
      </c>
      <c r="L119" s="114">
        <v>0.2</v>
      </c>
      <c r="M119" s="114">
        <v>302</v>
      </c>
      <c r="N119" s="38"/>
      <c r="O119" s="76" t="s">
        <v>8</v>
      </c>
      <c r="P119" s="10">
        <f>C124</f>
        <v>3.9</v>
      </c>
      <c r="Q119" s="10">
        <f aca="true" t="shared" si="29" ref="Q119:Z119">D124</f>
        <v>5.79</v>
      </c>
      <c r="R119" s="10">
        <f t="shared" si="29"/>
        <v>420</v>
      </c>
      <c r="S119" s="10">
        <f t="shared" si="29"/>
        <v>9.81</v>
      </c>
      <c r="T119" s="10">
        <f t="shared" si="29"/>
        <v>8.2</v>
      </c>
      <c r="U119" s="10">
        <f t="shared" si="29"/>
        <v>160</v>
      </c>
      <c r="V119" s="11">
        <f t="shared" si="29"/>
        <v>0.1</v>
      </c>
      <c r="W119" s="11">
        <f t="shared" si="29"/>
        <v>0.05</v>
      </c>
      <c r="X119" s="11">
        <f t="shared" si="29"/>
        <v>0.069</v>
      </c>
      <c r="Y119" s="11">
        <f t="shared" si="29"/>
        <v>0.08</v>
      </c>
      <c r="Z119" s="10">
        <f t="shared" si="29"/>
        <v>92</v>
      </c>
    </row>
    <row r="120" spans="1:26" s="98" customFormat="1" ht="12.75">
      <c r="A120" s="109">
        <v>36390</v>
      </c>
      <c r="B120" s="110">
        <v>0.3055555555555555</v>
      </c>
      <c r="C120" s="111">
        <v>62</v>
      </c>
      <c r="D120" s="111">
        <v>5.54</v>
      </c>
      <c r="E120" s="111">
        <v>342</v>
      </c>
      <c r="F120" s="111">
        <v>6.44</v>
      </c>
      <c r="G120" s="111">
        <v>15.8</v>
      </c>
      <c r="H120" s="114"/>
      <c r="I120" s="114">
        <v>0.48</v>
      </c>
      <c r="J120" s="120">
        <v>0.14</v>
      </c>
      <c r="K120" s="116">
        <v>0.075</v>
      </c>
      <c r="L120" s="114">
        <v>0.09</v>
      </c>
      <c r="M120" s="114">
        <v>124</v>
      </c>
      <c r="N120" s="41"/>
      <c r="O120" s="76" t="s">
        <v>9</v>
      </c>
      <c r="P120" s="10">
        <f>C125</f>
        <v>10.6</v>
      </c>
      <c r="Q120" s="10">
        <f aca="true" t="shared" si="30" ref="Q120:Z120">D125</f>
        <v>5.59</v>
      </c>
      <c r="R120" s="10">
        <f t="shared" si="30"/>
        <v>402</v>
      </c>
      <c r="S120" s="10">
        <f t="shared" si="30"/>
        <v>10.14</v>
      </c>
      <c r="T120" s="10">
        <f t="shared" si="30"/>
        <v>5.1</v>
      </c>
      <c r="U120" s="10">
        <f t="shared" si="30"/>
        <v>160</v>
      </c>
      <c r="V120" s="11">
        <f t="shared" si="30"/>
        <v>0.41</v>
      </c>
      <c r="W120" s="11">
        <f t="shared" si="30"/>
        <v>0.05</v>
      </c>
      <c r="X120" s="11">
        <f t="shared" si="30"/>
        <v>0.029</v>
      </c>
      <c r="Y120" s="11">
        <f t="shared" si="30"/>
        <v>0.06</v>
      </c>
      <c r="Z120" s="10">
        <f t="shared" si="30"/>
        <v>52</v>
      </c>
    </row>
    <row r="121" spans="1:26" ht="12.75">
      <c r="A121" s="109">
        <v>36404</v>
      </c>
      <c r="B121" s="110">
        <v>0.3055555555555555</v>
      </c>
      <c r="C121" s="111">
        <v>19</v>
      </c>
      <c r="D121" s="111">
        <v>7.07</v>
      </c>
      <c r="E121" s="111">
        <v>330</v>
      </c>
      <c r="F121" s="111">
        <v>6.6</v>
      </c>
      <c r="G121" s="111">
        <v>17.5</v>
      </c>
      <c r="H121" s="114">
        <v>560</v>
      </c>
      <c r="I121" s="114">
        <v>0.61</v>
      </c>
      <c r="J121" s="115">
        <v>0.05</v>
      </c>
      <c r="K121" s="116">
        <v>0.052</v>
      </c>
      <c r="L121" s="114">
        <v>0.1</v>
      </c>
      <c r="M121" s="114">
        <v>140</v>
      </c>
      <c r="N121" s="70"/>
      <c r="O121" s="76" t="s">
        <v>10</v>
      </c>
      <c r="P121" s="10">
        <v>15</v>
      </c>
      <c r="Q121" s="10">
        <v>4.81</v>
      </c>
      <c r="R121" s="10">
        <v>514</v>
      </c>
      <c r="S121" s="10">
        <v>11.2</v>
      </c>
      <c r="T121" s="10">
        <v>1.6</v>
      </c>
      <c r="U121" s="10">
        <v>72</v>
      </c>
      <c r="V121" s="11">
        <v>0.13</v>
      </c>
      <c r="W121" s="11">
        <v>0.05</v>
      </c>
      <c r="X121" s="11">
        <v>0.051</v>
      </c>
      <c r="Y121" s="11">
        <v>0.07</v>
      </c>
      <c r="Z121" s="10">
        <v>146</v>
      </c>
    </row>
    <row r="122" spans="1:26" ht="12.75">
      <c r="A122" s="109">
        <v>36418</v>
      </c>
      <c r="B122" s="110">
        <v>0.3229166666666667</v>
      </c>
      <c r="C122" s="111">
        <v>10</v>
      </c>
      <c r="D122" s="111">
        <v>5.78</v>
      </c>
      <c r="E122" s="111">
        <v>420</v>
      </c>
      <c r="F122" s="111">
        <v>7.75</v>
      </c>
      <c r="G122" s="111">
        <v>11.4</v>
      </c>
      <c r="H122" s="114" t="s">
        <v>35</v>
      </c>
      <c r="I122" s="114">
        <v>0.86</v>
      </c>
      <c r="J122" s="115">
        <v>0.08</v>
      </c>
      <c r="K122" s="116">
        <v>0.111</v>
      </c>
      <c r="L122" s="114">
        <v>0.13</v>
      </c>
      <c r="M122" s="114">
        <v>164</v>
      </c>
      <c r="N122" s="70"/>
      <c r="O122" s="70"/>
      <c r="P122" s="17">
        <f aca="true" t="shared" si="31" ref="P122:Z122">AVERAGE(P111:P121)</f>
        <v>84.7090909090909</v>
      </c>
      <c r="Q122" s="13">
        <f t="shared" si="31"/>
        <v>6.048181818181818</v>
      </c>
      <c r="R122" s="17">
        <f t="shared" si="31"/>
        <v>389.1818181818182</v>
      </c>
      <c r="S122" s="164">
        <f t="shared" si="31"/>
        <v>9.596818181818183</v>
      </c>
      <c r="T122" s="164">
        <f t="shared" si="31"/>
        <v>8.954545454545455</v>
      </c>
      <c r="U122" s="10">
        <f t="shared" si="31"/>
        <v>181.77272727272728</v>
      </c>
      <c r="V122" s="11">
        <f t="shared" si="31"/>
        <v>0.46181818181818185</v>
      </c>
      <c r="W122" s="11">
        <f t="shared" si="31"/>
        <v>0.08000000000000002</v>
      </c>
      <c r="X122" s="11">
        <f t="shared" si="31"/>
        <v>0.07818181818181819</v>
      </c>
      <c r="Y122" s="11">
        <f t="shared" si="31"/>
        <v>0.1472727272727273</v>
      </c>
      <c r="Z122" s="17">
        <f t="shared" si="31"/>
        <v>208.1818181818182</v>
      </c>
    </row>
    <row r="123" spans="1:19" ht="12.75">
      <c r="A123" s="109">
        <v>36418</v>
      </c>
      <c r="B123" s="111">
        <v>9999</v>
      </c>
      <c r="C123" s="111">
        <v>10</v>
      </c>
      <c r="D123" s="111">
        <v>5.78</v>
      </c>
      <c r="E123" s="111">
        <v>420</v>
      </c>
      <c r="F123" s="111">
        <v>7.75</v>
      </c>
      <c r="G123" s="111">
        <v>11.4</v>
      </c>
      <c r="H123" s="114"/>
      <c r="I123" s="114">
        <v>0.85</v>
      </c>
      <c r="J123" s="115">
        <v>0.05</v>
      </c>
      <c r="K123" s="116">
        <v>0.067</v>
      </c>
      <c r="L123" s="114">
        <v>0.12</v>
      </c>
      <c r="M123" s="114">
        <v>158</v>
      </c>
      <c r="N123" s="70"/>
      <c r="O123" s="70"/>
      <c r="P123" s="70"/>
      <c r="Q123" s="70"/>
      <c r="R123" s="70"/>
      <c r="S123" s="82"/>
    </row>
    <row r="124" spans="1:19" ht="12.75">
      <c r="A124" s="109">
        <v>36446</v>
      </c>
      <c r="B124" s="110">
        <v>0.3333333333333333</v>
      </c>
      <c r="C124" s="111">
        <v>3.9</v>
      </c>
      <c r="D124" s="111">
        <v>5.79</v>
      </c>
      <c r="E124" s="111">
        <v>420</v>
      </c>
      <c r="F124" s="111">
        <v>9.81</v>
      </c>
      <c r="G124" s="111">
        <v>8.2</v>
      </c>
      <c r="H124" s="114">
        <v>160</v>
      </c>
      <c r="I124" s="115">
        <v>0.1</v>
      </c>
      <c r="J124" s="115">
        <v>0.05</v>
      </c>
      <c r="K124" s="116">
        <v>0.069</v>
      </c>
      <c r="L124" s="114">
        <v>0.08</v>
      </c>
      <c r="M124" s="114">
        <v>92</v>
      </c>
      <c r="N124" s="70"/>
      <c r="O124" s="70"/>
      <c r="P124" s="70"/>
      <c r="Q124" s="69"/>
      <c r="R124" s="69"/>
      <c r="S124" s="84"/>
    </row>
    <row r="125" spans="1:19" ht="12.75">
      <c r="A125" s="109">
        <v>36474</v>
      </c>
      <c r="B125" s="110">
        <v>0.3333333333333333</v>
      </c>
      <c r="C125" s="111">
        <v>10.6</v>
      </c>
      <c r="D125" s="111">
        <v>5.59</v>
      </c>
      <c r="E125" s="111">
        <v>402</v>
      </c>
      <c r="F125" s="111">
        <v>10.14</v>
      </c>
      <c r="G125" s="111">
        <v>5.1</v>
      </c>
      <c r="H125" s="114">
        <v>160</v>
      </c>
      <c r="I125" s="115">
        <v>0.41</v>
      </c>
      <c r="J125" s="115">
        <v>0.05</v>
      </c>
      <c r="K125" s="116">
        <v>0.029</v>
      </c>
      <c r="L125" s="114">
        <v>0.06</v>
      </c>
      <c r="M125" s="114">
        <v>52</v>
      </c>
      <c r="N125" s="70"/>
      <c r="O125" s="70"/>
      <c r="P125" s="70"/>
      <c r="Q125" s="70"/>
      <c r="R125" s="70"/>
      <c r="S125" s="82"/>
    </row>
    <row r="126" spans="1:14" ht="12.75">
      <c r="A126" s="74" t="s">
        <v>149</v>
      </c>
      <c r="B126" s="75"/>
      <c r="C126" s="67"/>
      <c r="D126" s="67">
        <f>AVERAGE(D110:D125)</f>
        <v>6.1925</v>
      </c>
      <c r="E126" s="67">
        <f aca="true" t="shared" si="32" ref="E126:M126">AVERAGE(E110:E125)</f>
        <v>379</v>
      </c>
      <c r="F126" s="67">
        <f t="shared" si="32"/>
        <v>9.061249999999998</v>
      </c>
      <c r="G126" s="67">
        <f t="shared" si="32"/>
        <v>10.987499999999999</v>
      </c>
      <c r="H126" s="67">
        <f t="shared" si="32"/>
        <v>173.16666666666666</v>
      </c>
      <c r="I126" s="83">
        <f t="shared" si="32"/>
        <v>0.5181250000000001</v>
      </c>
      <c r="J126" s="83">
        <f t="shared" si="32"/>
        <v>0.07500000000000002</v>
      </c>
      <c r="K126" s="83">
        <f t="shared" si="32"/>
        <v>0.087625</v>
      </c>
      <c r="L126" s="83">
        <f t="shared" si="32"/>
        <v>0.13875000000000004</v>
      </c>
      <c r="M126" s="67">
        <f t="shared" si="32"/>
        <v>192.0625</v>
      </c>
      <c r="N126" s="77"/>
    </row>
    <row r="127" spans="1:27" ht="12.75">
      <c r="A127" s="65"/>
      <c r="B127" s="66"/>
      <c r="C127" s="68"/>
      <c r="D127" s="68"/>
      <c r="E127" s="68"/>
      <c r="F127" s="68"/>
      <c r="G127" s="67"/>
      <c r="H127" s="68"/>
      <c r="I127" s="70"/>
      <c r="J127" s="70"/>
      <c r="K127" s="70"/>
      <c r="L127" s="67"/>
      <c r="M127" s="85"/>
      <c r="N127" s="70"/>
      <c r="O127" s="70"/>
      <c r="P127" s="35"/>
      <c r="Q127" s="36"/>
      <c r="R127" s="36"/>
      <c r="S127" s="39"/>
      <c r="T127" s="36"/>
      <c r="U127" s="36"/>
      <c r="V127" s="101"/>
      <c r="W127" s="38"/>
      <c r="X127" s="35"/>
      <c r="Y127" s="35"/>
      <c r="Z127" s="38"/>
      <c r="AA127" s="38"/>
    </row>
    <row r="128" spans="1:27" ht="12.75">
      <c r="A128" s="65"/>
      <c r="B128" s="66"/>
      <c r="C128" s="87"/>
      <c r="D128" s="68"/>
      <c r="E128" s="68"/>
      <c r="F128" s="68"/>
      <c r="G128" s="68"/>
      <c r="H128" s="68"/>
      <c r="I128" s="78"/>
      <c r="J128" s="78"/>
      <c r="K128" s="70"/>
      <c r="L128" s="67"/>
      <c r="M128" s="83"/>
      <c r="N128" s="70"/>
      <c r="O128" s="70"/>
      <c r="P128" s="38"/>
      <c r="Q128" s="40"/>
      <c r="R128" s="40"/>
      <c r="S128" s="39"/>
      <c r="T128" s="40"/>
      <c r="U128" s="40"/>
      <c r="V128" s="38"/>
      <c r="W128" s="38"/>
      <c r="X128" s="38"/>
      <c r="Y128" s="38"/>
      <c r="Z128" s="38"/>
      <c r="AA128" s="38"/>
    </row>
    <row r="129" spans="1:26" ht="12.75">
      <c r="A129" s="38" t="s">
        <v>116</v>
      </c>
      <c r="B129" s="38"/>
      <c r="C129" s="40" t="s">
        <v>163</v>
      </c>
      <c r="D129" s="40" t="s">
        <v>105</v>
      </c>
      <c r="E129" s="39" t="s">
        <v>137</v>
      </c>
      <c r="F129" s="40" t="s">
        <v>138</v>
      </c>
      <c r="G129" s="40" t="s">
        <v>147</v>
      </c>
      <c r="H129" s="38" t="s">
        <v>164</v>
      </c>
      <c r="I129" s="38" t="s">
        <v>140</v>
      </c>
      <c r="J129" s="38" t="s">
        <v>165</v>
      </c>
      <c r="K129" s="38" t="s">
        <v>142</v>
      </c>
      <c r="L129" s="38" t="s">
        <v>37</v>
      </c>
      <c r="M129" s="101" t="s">
        <v>141</v>
      </c>
      <c r="O129" s="38" t="s">
        <v>116</v>
      </c>
      <c r="P129" s="40" t="s">
        <v>163</v>
      </c>
      <c r="Q129" s="40" t="s">
        <v>105</v>
      </c>
      <c r="R129" s="39" t="s">
        <v>137</v>
      </c>
      <c r="S129" s="40" t="s">
        <v>138</v>
      </c>
      <c r="T129" s="40" t="s">
        <v>147</v>
      </c>
      <c r="U129" s="38" t="s">
        <v>164</v>
      </c>
      <c r="V129" s="38" t="s">
        <v>140</v>
      </c>
      <c r="W129" s="38" t="s">
        <v>165</v>
      </c>
      <c r="X129" s="38" t="s">
        <v>142</v>
      </c>
      <c r="Y129" s="38" t="s">
        <v>37</v>
      </c>
      <c r="Z129" s="101" t="s">
        <v>141</v>
      </c>
    </row>
    <row r="130" spans="1:26" ht="12.75">
      <c r="A130" s="42" t="s">
        <v>106</v>
      </c>
      <c r="B130" s="42" t="s">
        <v>115</v>
      </c>
      <c r="C130" s="43" t="s">
        <v>43</v>
      </c>
      <c r="D130" s="43" t="s">
        <v>107</v>
      </c>
      <c r="E130" s="44" t="s">
        <v>108</v>
      </c>
      <c r="F130" s="43" t="s">
        <v>38</v>
      </c>
      <c r="G130" s="43" t="s">
        <v>39</v>
      </c>
      <c r="H130" s="42" t="s">
        <v>109</v>
      </c>
      <c r="I130" s="42" t="s">
        <v>40</v>
      </c>
      <c r="J130" s="42" t="s">
        <v>38</v>
      </c>
      <c r="K130" s="45" t="s">
        <v>42</v>
      </c>
      <c r="L130" s="42" t="s">
        <v>42</v>
      </c>
      <c r="M130" s="42" t="s">
        <v>110</v>
      </c>
      <c r="N130" s="86"/>
      <c r="O130" s="42" t="s">
        <v>106</v>
      </c>
      <c r="P130" s="43" t="s">
        <v>43</v>
      </c>
      <c r="Q130" s="43" t="s">
        <v>107</v>
      </c>
      <c r="R130" s="44" t="s">
        <v>108</v>
      </c>
      <c r="S130" s="43" t="s">
        <v>38</v>
      </c>
      <c r="T130" s="43" t="s">
        <v>39</v>
      </c>
      <c r="U130" s="42" t="s">
        <v>109</v>
      </c>
      <c r="V130" s="42" t="s">
        <v>40</v>
      </c>
      <c r="W130" s="42" t="s">
        <v>38</v>
      </c>
      <c r="X130" s="45" t="s">
        <v>42</v>
      </c>
      <c r="Y130" s="42" t="s">
        <v>42</v>
      </c>
      <c r="Z130" s="42" t="s">
        <v>110</v>
      </c>
    </row>
    <row r="131" spans="1:15" ht="12.75">
      <c r="A131" s="109">
        <v>36209.42013888889</v>
      </c>
      <c r="B131" s="110">
        <v>0.4201388888888889</v>
      </c>
      <c r="C131" s="112"/>
      <c r="D131" s="112">
        <v>8.04</v>
      </c>
      <c r="E131" s="118">
        <v>316</v>
      </c>
      <c r="F131" s="112">
        <v>12.59</v>
      </c>
      <c r="G131" s="112">
        <v>3</v>
      </c>
      <c r="H131" s="112">
        <v>3.6</v>
      </c>
      <c r="I131" s="114">
        <v>1</v>
      </c>
      <c r="J131" s="112">
        <v>0.2</v>
      </c>
      <c r="K131" s="116">
        <v>0.005</v>
      </c>
      <c r="L131" s="116">
        <v>0.01</v>
      </c>
      <c r="M131" s="114">
        <v>5</v>
      </c>
      <c r="N131" s="70"/>
      <c r="O131" s="70" t="s">
        <v>88</v>
      </c>
    </row>
    <row r="132" spans="1:26" ht="12.75">
      <c r="A132" s="109">
        <v>36209</v>
      </c>
      <c r="B132" s="110">
        <v>0.4236111111111111</v>
      </c>
      <c r="C132" s="112">
        <v>3</v>
      </c>
      <c r="D132" s="112">
        <v>7.96</v>
      </c>
      <c r="E132" s="118">
        <v>317</v>
      </c>
      <c r="F132" s="112">
        <v>12.91</v>
      </c>
      <c r="G132" s="112">
        <v>2.9</v>
      </c>
      <c r="H132" s="112"/>
      <c r="I132" s="114">
        <v>1</v>
      </c>
      <c r="J132" s="112">
        <v>0.2</v>
      </c>
      <c r="K132" s="116">
        <v>0.005</v>
      </c>
      <c r="L132" s="116">
        <v>0.01</v>
      </c>
      <c r="M132" s="114">
        <v>5</v>
      </c>
      <c r="N132" s="73"/>
      <c r="O132" s="70" t="s">
        <v>0</v>
      </c>
      <c r="P132" s="164">
        <f>AVERAGE(C131:C133)</f>
        <v>3</v>
      </c>
      <c r="Q132" s="164">
        <f aca="true" t="shared" si="33" ref="Q132:Z132">AVERAGE(D131:D133)</f>
        <v>7.97</v>
      </c>
      <c r="R132" s="164">
        <f t="shared" si="33"/>
        <v>319.6666666666667</v>
      </c>
      <c r="S132" s="164">
        <f t="shared" si="33"/>
        <v>12.87</v>
      </c>
      <c r="T132" s="164">
        <f t="shared" si="33"/>
        <v>2.966666666666667</v>
      </c>
      <c r="U132" s="164">
        <f t="shared" si="33"/>
        <v>3.6</v>
      </c>
      <c r="V132" s="17">
        <f t="shared" si="33"/>
        <v>1</v>
      </c>
      <c r="W132" s="11">
        <f t="shared" si="33"/>
        <v>0.2333333333333333</v>
      </c>
      <c r="X132" s="11">
        <f t="shared" si="33"/>
        <v>0.008666666666666668</v>
      </c>
      <c r="Y132" s="11">
        <f t="shared" si="33"/>
        <v>0.01</v>
      </c>
      <c r="Z132" s="164">
        <f t="shared" si="33"/>
        <v>5</v>
      </c>
    </row>
    <row r="133" spans="1:26" ht="12.75">
      <c r="A133" s="135">
        <v>36209</v>
      </c>
      <c r="B133" s="136">
        <v>0.427083333333333</v>
      </c>
      <c r="C133" s="137"/>
      <c r="D133" s="137">
        <v>7.91</v>
      </c>
      <c r="E133" s="138">
        <v>326</v>
      </c>
      <c r="F133" s="137">
        <v>13.11</v>
      </c>
      <c r="G133" s="137">
        <v>3</v>
      </c>
      <c r="H133" s="137"/>
      <c r="I133" s="139">
        <v>1</v>
      </c>
      <c r="J133" s="137">
        <v>0.3</v>
      </c>
      <c r="K133" s="140">
        <v>0.016</v>
      </c>
      <c r="L133" s="116">
        <v>0.01</v>
      </c>
      <c r="M133" s="139">
        <v>5</v>
      </c>
      <c r="N133" s="70"/>
      <c r="O133" s="70" t="s">
        <v>1</v>
      </c>
      <c r="P133" s="164">
        <f>AVERAGE(C134:C140)</f>
        <v>2.5</v>
      </c>
      <c r="Q133" s="164">
        <f aca="true" t="shared" si="34" ref="Q133:Z133">AVERAGE(D134:D140)</f>
        <v>7.402857142857143</v>
      </c>
      <c r="R133" s="164">
        <f t="shared" si="34"/>
        <v>340.2857142857143</v>
      </c>
      <c r="S133" s="164">
        <f t="shared" si="34"/>
        <v>12.255714285714285</v>
      </c>
      <c r="T133" s="164">
        <f t="shared" si="34"/>
        <v>6.4</v>
      </c>
      <c r="U133" s="164">
        <f t="shared" si="34"/>
        <v>4.55</v>
      </c>
      <c r="V133" s="17">
        <f t="shared" si="34"/>
        <v>1</v>
      </c>
      <c r="W133" s="11">
        <f t="shared" si="34"/>
        <v>0.24285714285714285</v>
      </c>
      <c r="X133" s="11">
        <f t="shared" si="34"/>
        <v>0.005</v>
      </c>
      <c r="Y133" s="11">
        <f t="shared" si="34"/>
        <v>0.01</v>
      </c>
      <c r="Z133" s="164">
        <f t="shared" si="34"/>
        <v>7.428571428571429</v>
      </c>
    </row>
    <row r="134" spans="1:26" ht="12.75">
      <c r="A134" s="109">
        <v>36229</v>
      </c>
      <c r="B134" s="110">
        <v>0.4513888888888889</v>
      </c>
      <c r="C134" s="112"/>
      <c r="D134" s="112">
        <v>8.42</v>
      </c>
      <c r="E134" s="118">
        <v>313</v>
      </c>
      <c r="F134" s="112">
        <v>13</v>
      </c>
      <c r="G134" s="112">
        <v>5</v>
      </c>
      <c r="H134" s="112">
        <v>4.1</v>
      </c>
      <c r="I134" s="114">
        <v>1</v>
      </c>
      <c r="J134" s="112">
        <v>0.2</v>
      </c>
      <c r="K134" s="116">
        <v>0.005</v>
      </c>
      <c r="L134" s="116">
        <v>0.01</v>
      </c>
      <c r="M134" s="114">
        <v>5</v>
      </c>
      <c r="N134" s="70"/>
      <c r="O134" s="70" t="s">
        <v>2</v>
      </c>
      <c r="P134" s="164">
        <f>AVERAGE(C141:C145)</f>
        <v>2</v>
      </c>
      <c r="Q134" s="164">
        <f aca="true" t="shared" si="35" ref="Q134:Z134">AVERAGE(D141:D145)</f>
        <v>8.124</v>
      </c>
      <c r="R134" s="164">
        <f t="shared" si="35"/>
        <v>330.2</v>
      </c>
      <c r="S134" s="164">
        <f t="shared" si="35"/>
        <v>11.115999999999998</v>
      </c>
      <c r="T134" s="164">
        <f t="shared" si="35"/>
        <v>8.14</v>
      </c>
      <c r="U134" s="164">
        <f t="shared" si="35"/>
        <v>4.05</v>
      </c>
      <c r="V134" s="17">
        <f t="shared" si="35"/>
        <v>1</v>
      </c>
      <c r="W134" s="11">
        <f t="shared" si="35"/>
        <v>0.15</v>
      </c>
      <c r="X134" s="11">
        <f t="shared" si="35"/>
        <v>0.005</v>
      </c>
      <c r="Y134" s="11">
        <f t="shared" si="35"/>
        <v>0.01</v>
      </c>
      <c r="Z134" s="164">
        <f t="shared" si="35"/>
        <v>6</v>
      </c>
    </row>
    <row r="135" spans="1:26" ht="12.75">
      <c r="A135" s="109">
        <f>A134</f>
        <v>36229</v>
      </c>
      <c r="B135" s="110">
        <v>0.4444444444444444</v>
      </c>
      <c r="C135" s="112">
        <v>2</v>
      </c>
      <c r="D135" s="112">
        <v>8.42</v>
      </c>
      <c r="E135" s="118">
        <v>313</v>
      </c>
      <c r="F135" s="112">
        <v>13</v>
      </c>
      <c r="G135" s="112">
        <v>5</v>
      </c>
      <c r="H135" s="112"/>
      <c r="I135" s="114">
        <v>1</v>
      </c>
      <c r="J135" s="112">
        <v>0.2</v>
      </c>
      <c r="K135" s="116">
        <v>0.005</v>
      </c>
      <c r="L135" s="116">
        <v>0.01</v>
      </c>
      <c r="M135" s="114">
        <v>5</v>
      </c>
      <c r="N135" s="70"/>
      <c r="O135" s="70" t="s">
        <v>3</v>
      </c>
      <c r="P135" s="164">
        <f>AVERAGE(C146:C149)</f>
        <v>1</v>
      </c>
      <c r="Q135" s="164">
        <f aca="true" t="shared" si="36" ref="Q135:Z135">AVERAGE(D146:D149)</f>
        <v>7.55</v>
      </c>
      <c r="R135" s="164">
        <f t="shared" si="36"/>
        <v>305.5</v>
      </c>
      <c r="S135" s="164">
        <f t="shared" si="36"/>
        <v>14.75</v>
      </c>
      <c r="T135" s="164">
        <f t="shared" si="36"/>
        <v>12.65</v>
      </c>
      <c r="U135" s="164">
        <f t="shared" si="36"/>
        <v>4.6</v>
      </c>
      <c r="V135" s="17">
        <f t="shared" si="36"/>
        <v>12</v>
      </c>
      <c r="W135" s="11">
        <f t="shared" si="36"/>
        <v>0.375</v>
      </c>
      <c r="X135" s="11">
        <f t="shared" si="36"/>
        <v>0.05850000000000001</v>
      </c>
      <c r="Y135" s="11">
        <f t="shared" si="36"/>
        <v>0.055</v>
      </c>
      <c r="Z135" s="164">
        <f t="shared" si="36"/>
        <v>30</v>
      </c>
    </row>
    <row r="136" spans="1:26" ht="12.75">
      <c r="A136" s="135">
        <f>A134</f>
        <v>36229</v>
      </c>
      <c r="B136" s="136">
        <v>0.4375</v>
      </c>
      <c r="C136" s="137"/>
      <c r="D136" s="137">
        <v>8.21</v>
      </c>
      <c r="E136" s="138">
        <v>493</v>
      </c>
      <c r="F136" s="137">
        <v>12.68</v>
      </c>
      <c r="G136" s="137">
        <v>5.1</v>
      </c>
      <c r="H136" s="137"/>
      <c r="I136" s="139">
        <v>1</v>
      </c>
      <c r="J136" s="137">
        <v>0.2</v>
      </c>
      <c r="K136" s="116">
        <v>0.005</v>
      </c>
      <c r="L136" s="116">
        <v>0.01</v>
      </c>
      <c r="M136" s="139">
        <v>5</v>
      </c>
      <c r="N136" s="7"/>
      <c r="O136" s="70" t="s">
        <v>4</v>
      </c>
      <c r="P136" s="164">
        <f>AVERAGE(C150:C153)</f>
        <v>0.6</v>
      </c>
      <c r="Q136" s="164">
        <f aca="true" t="shared" si="37" ref="Q136:Z136">AVERAGE(D150:D153)</f>
        <v>7.7225</v>
      </c>
      <c r="R136" s="164">
        <f t="shared" si="37"/>
        <v>198.75</v>
      </c>
      <c r="S136" s="164">
        <f t="shared" si="37"/>
        <v>10.2225</v>
      </c>
      <c r="T136" s="164">
        <f t="shared" si="37"/>
        <v>15.725000000000001</v>
      </c>
      <c r="U136" s="164">
        <f t="shared" si="37"/>
        <v>11</v>
      </c>
      <c r="V136" s="17">
        <f t="shared" si="37"/>
        <v>10</v>
      </c>
      <c r="W136" s="11">
        <f t="shared" si="37"/>
        <v>0.375</v>
      </c>
      <c r="X136" s="11">
        <f t="shared" si="37"/>
        <v>0.02825</v>
      </c>
      <c r="Y136" s="11">
        <f t="shared" si="37"/>
        <v>0.049999999999999996</v>
      </c>
      <c r="Z136" s="164">
        <f t="shared" si="37"/>
        <v>16.25</v>
      </c>
    </row>
    <row r="137" spans="1:26" ht="12.75">
      <c r="A137" s="109">
        <v>36243</v>
      </c>
      <c r="B137" s="110">
        <v>0.4166666666666667</v>
      </c>
      <c r="C137" s="112"/>
      <c r="D137" s="112">
        <v>6.86</v>
      </c>
      <c r="E137" s="118">
        <v>316</v>
      </c>
      <c r="F137" s="112">
        <v>11.54</v>
      </c>
      <c r="G137" s="112">
        <v>7.5</v>
      </c>
      <c r="H137" s="112">
        <v>5</v>
      </c>
      <c r="I137" s="114">
        <v>1</v>
      </c>
      <c r="J137" s="112">
        <v>0.4</v>
      </c>
      <c r="K137" s="116">
        <v>0.005</v>
      </c>
      <c r="L137" s="116">
        <v>0.01</v>
      </c>
      <c r="M137" s="114">
        <v>10</v>
      </c>
      <c r="N137" s="7"/>
      <c r="O137" s="70" t="s">
        <v>5</v>
      </c>
      <c r="P137" s="164">
        <f>AVERAGE(C154:C159)</f>
        <v>2</v>
      </c>
      <c r="Q137" s="164">
        <f aca="true" t="shared" si="38" ref="Q137:Z137">AVERAGE(D154:D159)</f>
        <v>7.703333333333332</v>
      </c>
      <c r="R137" s="164">
        <f t="shared" si="38"/>
        <v>223.16666666666666</v>
      </c>
      <c r="S137" s="164">
        <f t="shared" si="38"/>
        <v>7.823333333333333</v>
      </c>
      <c r="T137" s="164">
        <f t="shared" si="38"/>
        <v>20.116666666666664</v>
      </c>
      <c r="U137" s="164">
        <f t="shared" si="38"/>
        <v>2</v>
      </c>
      <c r="V137" s="17">
        <f t="shared" si="38"/>
        <v>2.6666666666666665</v>
      </c>
      <c r="W137" s="11">
        <f t="shared" si="38"/>
        <v>0.5</v>
      </c>
      <c r="X137" s="11">
        <f t="shared" si="38"/>
        <v>0.011000000000000001</v>
      </c>
      <c r="Y137" s="11">
        <f t="shared" si="38"/>
        <v>0.016666666666666666</v>
      </c>
      <c r="Z137" s="164">
        <f t="shared" si="38"/>
        <v>7.833333333333333</v>
      </c>
    </row>
    <row r="138" spans="1:26" ht="12.75">
      <c r="A138" s="109">
        <v>36243</v>
      </c>
      <c r="B138" s="110">
        <v>0.4270833333333333</v>
      </c>
      <c r="C138" s="112">
        <v>3</v>
      </c>
      <c r="D138" s="112">
        <v>6.81</v>
      </c>
      <c r="E138" s="118">
        <v>317</v>
      </c>
      <c r="F138" s="112">
        <v>11.66</v>
      </c>
      <c r="G138" s="112">
        <v>7.5</v>
      </c>
      <c r="H138" s="112"/>
      <c r="I138" s="114">
        <v>1</v>
      </c>
      <c r="J138" s="112">
        <v>0.2</v>
      </c>
      <c r="K138" s="116">
        <v>0.005</v>
      </c>
      <c r="L138" s="116">
        <v>0.01</v>
      </c>
      <c r="M138" s="114">
        <v>5</v>
      </c>
      <c r="N138" s="35"/>
      <c r="O138" s="70" t="s">
        <v>6</v>
      </c>
      <c r="P138" s="164">
        <f>AVERAGE(C160:C166)</f>
        <v>2.75</v>
      </c>
      <c r="Q138" s="164">
        <f aca="true" t="shared" si="39" ref="Q138:Z138">AVERAGE(D160:D166)</f>
        <v>7.87</v>
      </c>
      <c r="R138" s="164">
        <f t="shared" si="39"/>
        <v>212.71428571428572</v>
      </c>
      <c r="S138" s="164">
        <f t="shared" si="39"/>
        <v>8.07</v>
      </c>
      <c r="T138" s="164">
        <f t="shared" si="39"/>
        <v>19.8</v>
      </c>
      <c r="U138" s="164">
        <f t="shared" si="39"/>
        <v>3.45</v>
      </c>
      <c r="V138" s="17">
        <f t="shared" si="39"/>
        <v>7</v>
      </c>
      <c r="W138" s="11">
        <f t="shared" si="39"/>
        <v>0.3714285714285714</v>
      </c>
      <c r="X138" s="11">
        <f t="shared" si="39"/>
        <v>0.02028571428571429</v>
      </c>
      <c r="Y138" s="11">
        <f t="shared" si="39"/>
        <v>0.02285714285714286</v>
      </c>
      <c r="Z138" s="164">
        <f t="shared" si="39"/>
        <v>19.142857142857142</v>
      </c>
    </row>
    <row r="139" spans="1:26" ht="12.75">
      <c r="A139" s="109">
        <v>36243</v>
      </c>
      <c r="B139" s="111">
        <v>9999</v>
      </c>
      <c r="C139" s="112"/>
      <c r="D139" s="112">
        <v>6.81</v>
      </c>
      <c r="E139" s="118">
        <v>317</v>
      </c>
      <c r="F139" s="112">
        <v>11.66</v>
      </c>
      <c r="G139" s="112">
        <v>7.5</v>
      </c>
      <c r="H139" s="112"/>
      <c r="I139" s="114">
        <v>1</v>
      </c>
      <c r="J139" s="112">
        <v>0.2</v>
      </c>
      <c r="K139" s="116">
        <v>0.005</v>
      </c>
      <c r="L139" s="116">
        <v>0.01</v>
      </c>
      <c r="M139" s="114">
        <v>8</v>
      </c>
      <c r="N139" s="38"/>
      <c r="O139" s="70" t="s">
        <v>7</v>
      </c>
      <c r="P139" s="164">
        <f>AVERAGE(C167:C173)</f>
        <v>2</v>
      </c>
      <c r="Q139" s="164">
        <f aca="true" t="shared" si="40" ref="Q139:Z139">AVERAGE(D167:D173)</f>
        <v>7.492857142857142</v>
      </c>
      <c r="R139" s="164">
        <f t="shared" si="40"/>
        <v>220.28571428571428</v>
      </c>
      <c r="S139" s="164">
        <f t="shared" si="40"/>
        <v>7.6414285714285715</v>
      </c>
      <c r="T139" s="164">
        <f t="shared" si="40"/>
        <v>19.285714285714285</v>
      </c>
      <c r="U139" s="164">
        <f t="shared" si="40"/>
        <v>3.6</v>
      </c>
      <c r="V139" s="17">
        <f t="shared" si="40"/>
        <v>2</v>
      </c>
      <c r="W139" s="11">
        <f t="shared" si="40"/>
        <v>0.31428571428571433</v>
      </c>
      <c r="X139" s="11">
        <f t="shared" si="40"/>
        <v>0.009428571428571427</v>
      </c>
      <c r="Y139" s="11">
        <f t="shared" si="40"/>
        <v>0.011571428571428571</v>
      </c>
      <c r="Z139" s="164">
        <f t="shared" si="40"/>
        <v>7.428571428571429</v>
      </c>
    </row>
    <row r="140" spans="1:26" ht="12.75">
      <c r="A140" s="135">
        <f>A137</f>
        <v>36243</v>
      </c>
      <c r="B140" s="136">
        <v>0.4375</v>
      </c>
      <c r="C140" s="137"/>
      <c r="D140" s="137">
        <v>6.29</v>
      </c>
      <c r="E140" s="138">
        <v>313</v>
      </c>
      <c r="F140" s="137">
        <v>12.25</v>
      </c>
      <c r="G140" s="137">
        <v>7.2</v>
      </c>
      <c r="H140" s="137"/>
      <c r="I140" s="139">
        <v>1</v>
      </c>
      <c r="J140" s="137">
        <v>0.3</v>
      </c>
      <c r="K140" s="116">
        <v>0.005</v>
      </c>
      <c r="L140" s="116">
        <v>0.01</v>
      </c>
      <c r="M140" s="139">
        <v>14</v>
      </c>
      <c r="N140" s="38"/>
      <c r="O140" s="70" t="s">
        <v>8</v>
      </c>
      <c r="P140" s="164">
        <f>AVERAGE(C174:C177)</f>
        <v>2.5</v>
      </c>
      <c r="Q140" s="164">
        <f aca="true" t="shared" si="41" ref="Q140:Z140">AVERAGE(D174:D177)</f>
        <v>7.7875</v>
      </c>
      <c r="R140" s="164">
        <f t="shared" si="41"/>
        <v>243.75</v>
      </c>
      <c r="S140" s="164">
        <f t="shared" si="41"/>
        <v>10.6</v>
      </c>
      <c r="T140" s="164">
        <f t="shared" si="41"/>
        <v>13.275000000000002</v>
      </c>
      <c r="U140" s="164">
        <f t="shared" si="41"/>
        <v>7.3</v>
      </c>
      <c r="V140" s="17">
        <f t="shared" si="41"/>
        <v>9.5</v>
      </c>
      <c r="W140" s="11">
        <f t="shared" si="41"/>
        <v>0.24999999999999997</v>
      </c>
      <c r="X140" s="11">
        <f t="shared" si="41"/>
        <v>0.009500000000000001</v>
      </c>
      <c r="Y140" s="11">
        <f t="shared" si="41"/>
        <v>0.017499999999999998</v>
      </c>
      <c r="Z140" s="164">
        <f t="shared" si="41"/>
        <v>11.5</v>
      </c>
    </row>
    <row r="141" spans="1:26" ht="12.75">
      <c r="A141" s="109">
        <v>36265</v>
      </c>
      <c r="B141" s="110">
        <v>0.4305555555555556</v>
      </c>
      <c r="C141" s="112"/>
      <c r="D141" s="112">
        <v>8.38</v>
      </c>
      <c r="E141" s="118">
        <v>329</v>
      </c>
      <c r="F141" s="112">
        <v>11.28</v>
      </c>
      <c r="G141" s="112">
        <v>8.3</v>
      </c>
      <c r="H141" s="112">
        <v>3.9</v>
      </c>
      <c r="I141" s="114">
        <v>1</v>
      </c>
      <c r="J141" s="112">
        <v>0.1</v>
      </c>
      <c r="K141" s="116">
        <v>0.005</v>
      </c>
      <c r="L141" s="116">
        <v>0.01</v>
      </c>
      <c r="M141" s="114">
        <v>6</v>
      </c>
      <c r="N141" s="41"/>
      <c r="O141" s="70" t="s">
        <v>9</v>
      </c>
      <c r="P141" s="164">
        <f>AVERAGE(C178:C180)</f>
        <v>2</v>
      </c>
      <c r="Q141" s="164">
        <f aca="true" t="shared" si="42" ref="Q141:Z141">AVERAGE(D178:D180)</f>
        <v>7.41</v>
      </c>
      <c r="R141" s="164">
        <f t="shared" si="42"/>
        <v>257</v>
      </c>
      <c r="S141" s="164">
        <f t="shared" si="42"/>
        <v>11.283333333333333</v>
      </c>
      <c r="T141" s="164">
        <f t="shared" si="42"/>
        <v>8.733333333333334</v>
      </c>
      <c r="U141" s="164">
        <f t="shared" si="42"/>
        <v>5.3</v>
      </c>
      <c r="V141" s="17">
        <f t="shared" si="42"/>
        <v>4.333333333333333</v>
      </c>
      <c r="W141" s="11">
        <f t="shared" si="42"/>
        <v>0.16666666666666666</v>
      </c>
      <c r="X141" s="11">
        <f t="shared" si="42"/>
        <v>0.005</v>
      </c>
      <c r="Y141" s="11">
        <f t="shared" si="42"/>
        <v>0.01</v>
      </c>
      <c r="Z141" s="164">
        <f t="shared" si="42"/>
        <v>5</v>
      </c>
    </row>
    <row r="142" spans="1:26" ht="12.75">
      <c r="A142" s="109">
        <v>36265</v>
      </c>
      <c r="B142" s="111">
        <v>9999</v>
      </c>
      <c r="C142" s="112"/>
      <c r="D142" s="112">
        <v>8.38</v>
      </c>
      <c r="E142" s="118">
        <v>329</v>
      </c>
      <c r="F142" s="112">
        <v>11.28</v>
      </c>
      <c r="G142" s="112">
        <v>8.3</v>
      </c>
      <c r="H142" s="112">
        <v>4.2</v>
      </c>
      <c r="I142" s="114"/>
      <c r="J142" s="112"/>
      <c r="K142" s="116">
        <v>0.005</v>
      </c>
      <c r="L142" s="116"/>
      <c r="M142" s="114"/>
      <c r="N142" s="70"/>
      <c r="O142" s="70" t="s">
        <v>10</v>
      </c>
      <c r="P142" s="164">
        <f>AVERAGE(C181:C183)</f>
        <v>2.5</v>
      </c>
      <c r="Q142" s="164">
        <f aca="true" t="shared" si="43" ref="Q142:Z142">AVERAGE(D181:D183)</f>
        <v>7.273333333333333</v>
      </c>
      <c r="R142" s="164">
        <f t="shared" si="43"/>
        <v>291</v>
      </c>
      <c r="S142" s="164">
        <f t="shared" si="43"/>
        <v>11.06</v>
      </c>
      <c r="T142" s="164">
        <f t="shared" si="43"/>
        <v>2.033333333333333</v>
      </c>
      <c r="U142" s="164">
        <f t="shared" si="43"/>
        <v>1.9</v>
      </c>
      <c r="V142" s="17">
        <f t="shared" si="43"/>
        <v>1</v>
      </c>
      <c r="W142" s="11">
        <f t="shared" si="43"/>
        <v>0.26666666666666666</v>
      </c>
      <c r="X142" s="11">
        <f t="shared" si="43"/>
        <v>0.007333333333333333</v>
      </c>
      <c r="Y142" s="11">
        <f t="shared" si="43"/>
        <v>0.01</v>
      </c>
      <c r="Z142" s="164">
        <f t="shared" si="43"/>
        <v>5</v>
      </c>
    </row>
    <row r="143" spans="1:26" ht="12.75">
      <c r="A143" s="109">
        <v>36265</v>
      </c>
      <c r="B143" s="110">
        <v>0.4270833333333333</v>
      </c>
      <c r="C143" s="112">
        <v>2</v>
      </c>
      <c r="D143" s="112">
        <v>8.38</v>
      </c>
      <c r="E143" s="118">
        <v>329</v>
      </c>
      <c r="F143" s="112">
        <v>11.28</v>
      </c>
      <c r="G143" s="112">
        <v>8.3</v>
      </c>
      <c r="H143" s="113"/>
      <c r="I143" s="114">
        <v>1</v>
      </c>
      <c r="J143" s="112">
        <v>0.2</v>
      </c>
      <c r="K143" s="116">
        <v>0.005</v>
      </c>
      <c r="L143" s="116">
        <v>0.01</v>
      </c>
      <c r="M143" s="114">
        <v>5</v>
      </c>
      <c r="N143" s="70"/>
      <c r="O143" s="70" t="s">
        <v>149</v>
      </c>
      <c r="P143" s="164">
        <f>AVERAGE(P132:P142)</f>
        <v>2.0772727272727276</v>
      </c>
      <c r="Q143" s="164">
        <f aca="true" t="shared" si="44" ref="Q143:Z143">AVERAGE(Q132:Q142)</f>
        <v>7.66421645021645</v>
      </c>
      <c r="R143" s="164">
        <f t="shared" si="44"/>
        <v>267.4835497835498</v>
      </c>
      <c r="S143" s="164">
        <f t="shared" si="44"/>
        <v>10.699300865800865</v>
      </c>
      <c r="T143" s="164">
        <f t="shared" si="44"/>
        <v>11.7387012987013</v>
      </c>
      <c r="U143" s="164">
        <f t="shared" si="44"/>
        <v>4.668181818181818</v>
      </c>
      <c r="V143" s="17">
        <f t="shared" si="44"/>
        <v>4.6818181818181825</v>
      </c>
      <c r="W143" s="11">
        <f t="shared" si="44"/>
        <v>0.295021645021645</v>
      </c>
      <c r="X143" s="11">
        <f t="shared" si="44"/>
        <v>0.015269480519480521</v>
      </c>
      <c r="Y143" s="11">
        <f t="shared" si="44"/>
        <v>0.020326839826839825</v>
      </c>
      <c r="Z143" s="164">
        <f t="shared" si="44"/>
        <v>10.962121212121211</v>
      </c>
    </row>
    <row r="144" spans="1:15" ht="12.75">
      <c r="A144" s="109">
        <v>36265</v>
      </c>
      <c r="B144" s="111">
        <v>9999</v>
      </c>
      <c r="C144" s="112"/>
      <c r="D144" s="112">
        <v>7.74</v>
      </c>
      <c r="E144" s="118">
        <v>332</v>
      </c>
      <c r="F144" s="112">
        <v>10.87</v>
      </c>
      <c r="G144" s="112">
        <v>7.9</v>
      </c>
      <c r="H144" s="113"/>
      <c r="I144" s="114">
        <v>1</v>
      </c>
      <c r="J144" s="112">
        <v>0.2</v>
      </c>
      <c r="K144" s="116">
        <v>0.005</v>
      </c>
      <c r="L144" s="116">
        <v>0.01</v>
      </c>
      <c r="M144" s="114">
        <v>8</v>
      </c>
      <c r="N144" s="70"/>
      <c r="O144" s="70"/>
    </row>
    <row r="145" spans="1:15" ht="12.75">
      <c r="A145" s="135">
        <v>36265</v>
      </c>
      <c r="B145" s="136">
        <v>0.4236111111111111</v>
      </c>
      <c r="C145" s="137"/>
      <c r="D145" s="137">
        <v>7.74</v>
      </c>
      <c r="E145" s="138">
        <v>332</v>
      </c>
      <c r="F145" s="137">
        <v>10.87</v>
      </c>
      <c r="G145" s="137">
        <v>7.9</v>
      </c>
      <c r="H145" s="137"/>
      <c r="I145" s="139">
        <v>1</v>
      </c>
      <c r="J145" s="137">
        <v>0.1</v>
      </c>
      <c r="K145" s="116">
        <v>0.005</v>
      </c>
      <c r="L145" s="116">
        <v>0.01</v>
      </c>
      <c r="M145" s="139">
        <v>5</v>
      </c>
      <c r="N145" s="70"/>
      <c r="O145" s="70"/>
    </row>
    <row r="146" spans="1:15" ht="12.75">
      <c r="A146" s="109">
        <v>36299</v>
      </c>
      <c r="B146" s="110">
        <v>0.4444444444444444</v>
      </c>
      <c r="C146" s="112"/>
      <c r="D146" s="112">
        <v>7.64</v>
      </c>
      <c r="E146" s="118">
        <v>262</v>
      </c>
      <c r="F146" s="112">
        <v>15.71</v>
      </c>
      <c r="G146" s="112">
        <v>13.7</v>
      </c>
      <c r="H146" s="112">
        <v>4.6</v>
      </c>
      <c r="I146" s="114">
        <v>2</v>
      </c>
      <c r="J146" s="112">
        <v>0.4</v>
      </c>
      <c r="K146" s="116">
        <v>0.035</v>
      </c>
      <c r="L146" s="116">
        <v>0.04</v>
      </c>
      <c r="M146" s="114">
        <v>12</v>
      </c>
      <c r="N146" s="70"/>
      <c r="O146" s="70"/>
    </row>
    <row r="147" spans="1:15" ht="12" customHeight="1">
      <c r="A147" s="109">
        <v>36299</v>
      </c>
      <c r="B147" s="110">
        <v>0.4513888888888889</v>
      </c>
      <c r="C147" s="112">
        <v>1</v>
      </c>
      <c r="D147" s="112">
        <v>7.64</v>
      </c>
      <c r="E147" s="118">
        <v>262</v>
      </c>
      <c r="F147" s="112">
        <v>15.71</v>
      </c>
      <c r="G147" s="112">
        <v>13.7</v>
      </c>
      <c r="H147" s="112"/>
      <c r="I147" s="114">
        <v>1</v>
      </c>
      <c r="J147" s="112">
        <v>0.3</v>
      </c>
      <c r="K147" s="116">
        <v>0.033</v>
      </c>
      <c r="L147" s="116">
        <v>0.04</v>
      </c>
      <c r="M147" s="114">
        <v>10</v>
      </c>
      <c r="N147" s="70"/>
      <c r="O147" s="70"/>
    </row>
    <row r="148" spans="1:15" ht="12.75">
      <c r="A148" s="109">
        <v>36299</v>
      </c>
      <c r="B148" s="111">
        <v>9999</v>
      </c>
      <c r="C148" s="112"/>
      <c r="D148" s="141">
        <v>7.46</v>
      </c>
      <c r="E148" s="142">
        <v>349</v>
      </c>
      <c r="F148" s="141">
        <v>13.79</v>
      </c>
      <c r="G148" s="141">
        <v>11.6</v>
      </c>
      <c r="H148" s="112"/>
      <c r="I148" s="114">
        <v>19</v>
      </c>
      <c r="J148" s="112">
        <v>0.4</v>
      </c>
      <c r="K148" s="116">
        <v>0.085</v>
      </c>
      <c r="L148" s="116">
        <v>0.04</v>
      </c>
      <c r="M148" s="114">
        <v>56</v>
      </c>
      <c r="N148" s="70"/>
      <c r="O148" s="70"/>
    </row>
    <row r="149" spans="1:15" ht="12.75">
      <c r="A149" s="135">
        <v>36299</v>
      </c>
      <c r="B149" s="136">
        <v>0.4583333333333333</v>
      </c>
      <c r="C149" s="137"/>
      <c r="D149" s="137">
        <v>7.46</v>
      </c>
      <c r="E149" s="138">
        <v>349</v>
      </c>
      <c r="F149" s="137">
        <v>13.79</v>
      </c>
      <c r="G149" s="137">
        <v>11.6</v>
      </c>
      <c r="H149" s="137"/>
      <c r="I149" s="139">
        <v>26</v>
      </c>
      <c r="J149" s="137">
        <v>0.4</v>
      </c>
      <c r="K149" s="140">
        <v>0.081</v>
      </c>
      <c r="L149" s="140">
        <v>0.1</v>
      </c>
      <c r="M149" s="139">
        <v>42</v>
      </c>
      <c r="N149" s="70"/>
      <c r="O149" s="70"/>
    </row>
    <row r="150" spans="1:15" ht="12.75">
      <c r="A150" s="109">
        <v>36320</v>
      </c>
      <c r="B150" s="110">
        <v>0.46875</v>
      </c>
      <c r="C150" s="112"/>
      <c r="D150" s="112">
        <v>7.95</v>
      </c>
      <c r="E150" s="118">
        <v>200</v>
      </c>
      <c r="F150" s="112">
        <v>10.45</v>
      </c>
      <c r="G150" s="112">
        <v>16.6</v>
      </c>
      <c r="H150" s="112">
        <v>11</v>
      </c>
      <c r="I150" s="114">
        <v>15</v>
      </c>
      <c r="J150" s="112">
        <v>0.5</v>
      </c>
      <c r="K150" s="116">
        <v>0.035</v>
      </c>
      <c r="L150" s="116">
        <v>0.06</v>
      </c>
      <c r="M150" s="114">
        <v>20</v>
      </c>
      <c r="N150" s="83">
        <f>AVERAGE(H154:H173)</f>
        <v>3.016666666666667</v>
      </c>
      <c r="O150" s="68"/>
    </row>
    <row r="151" spans="1:15" ht="12.75">
      <c r="A151" s="109">
        <v>36320</v>
      </c>
      <c r="B151" s="111">
        <v>9999</v>
      </c>
      <c r="C151" s="112"/>
      <c r="D151" s="112">
        <v>7.95</v>
      </c>
      <c r="E151" s="118">
        <v>200</v>
      </c>
      <c r="F151" s="112">
        <v>10.45</v>
      </c>
      <c r="G151" s="112">
        <v>16.6</v>
      </c>
      <c r="H151" s="112"/>
      <c r="I151" s="114">
        <v>10</v>
      </c>
      <c r="J151" s="112">
        <v>0.5</v>
      </c>
      <c r="K151" s="116">
        <v>0.028</v>
      </c>
      <c r="L151" s="116">
        <v>0.06</v>
      </c>
      <c r="M151" s="114">
        <v>13</v>
      </c>
      <c r="N151" s="86"/>
      <c r="O151" s="86"/>
    </row>
    <row r="152" spans="1:15" ht="12.75">
      <c r="A152" s="109">
        <v>36320</v>
      </c>
      <c r="B152" s="110">
        <v>0.4791666666666667</v>
      </c>
      <c r="C152" s="112">
        <v>0.6</v>
      </c>
      <c r="D152" s="112">
        <v>7.95</v>
      </c>
      <c r="E152" s="118">
        <v>200</v>
      </c>
      <c r="F152" s="112">
        <v>10.45</v>
      </c>
      <c r="G152" s="112">
        <v>16.6</v>
      </c>
      <c r="H152" s="112"/>
      <c r="I152" s="114">
        <v>10</v>
      </c>
      <c r="J152" s="112">
        <v>0.3</v>
      </c>
      <c r="K152" s="116">
        <v>0.032</v>
      </c>
      <c r="L152" s="116">
        <v>0.06</v>
      </c>
      <c r="M152" s="114">
        <v>20</v>
      </c>
      <c r="N152" s="70"/>
      <c r="O152" s="70"/>
    </row>
    <row r="153" spans="1:15" ht="12.75">
      <c r="A153" s="135">
        <v>36320</v>
      </c>
      <c r="B153" s="136">
        <v>0.4895833333333333</v>
      </c>
      <c r="C153" s="137"/>
      <c r="D153" s="137">
        <v>7.04</v>
      </c>
      <c r="E153" s="138">
        <v>195</v>
      </c>
      <c r="F153" s="137">
        <v>9.54</v>
      </c>
      <c r="G153" s="137">
        <v>13.1</v>
      </c>
      <c r="H153" s="137"/>
      <c r="I153" s="139">
        <v>5</v>
      </c>
      <c r="J153" s="137">
        <v>0.2</v>
      </c>
      <c r="K153" s="140">
        <v>0.018</v>
      </c>
      <c r="L153" s="140">
        <v>0.02</v>
      </c>
      <c r="M153" s="139">
        <v>12</v>
      </c>
      <c r="N153" s="68"/>
      <c r="O153" s="68"/>
    </row>
    <row r="154" spans="1:15" ht="12.75">
      <c r="A154" s="143">
        <v>36348</v>
      </c>
      <c r="B154" s="144">
        <v>0.40972222222222227</v>
      </c>
      <c r="C154" s="141"/>
      <c r="D154" s="141">
        <v>7.95</v>
      </c>
      <c r="E154" s="142">
        <v>221</v>
      </c>
      <c r="F154" s="141">
        <v>8.87</v>
      </c>
      <c r="G154" s="141">
        <v>21.6</v>
      </c>
      <c r="H154" s="141">
        <v>0.6</v>
      </c>
      <c r="I154" s="145">
        <v>4</v>
      </c>
      <c r="J154" s="141">
        <v>0.1</v>
      </c>
      <c r="K154" s="146">
        <v>0.005</v>
      </c>
      <c r="L154" s="146">
        <v>0.02</v>
      </c>
      <c r="M154" s="145">
        <v>5</v>
      </c>
      <c r="N154" s="70"/>
      <c r="O154" s="70"/>
    </row>
    <row r="155" spans="1:15" ht="12.75">
      <c r="A155" s="143">
        <v>36348</v>
      </c>
      <c r="B155" s="144">
        <v>0.40277777777777773</v>
      </c>
      <c r="C155" s="141">
        <v>2</v>
      </c>
      <c r="D155" s="141">
        <v>7.95</v>
      </c>
      <c r="E155" s="142">
        <v>221</v>
      </c>
      <c r="F155" s="141">
        <v>8.87</v>
      </c>
      <c r="G155" s="141">
        <v>21.6</v>
      </c>
      <c r="H155" s="141"/>
      <c r="I155" s="145">
        <v>3</v>
      </c>
      <c r="J155" s="141">
        <v>0.1</v>
      </c>
      <c r="K155" s="146">
        <v>0.005</v>
      </c>
      <c r="L155" s="146">
        <v>0.01</v>
      </c>
      <c r="M155" s="145">
        <v>5</v>
      </c>
      <c r="N155" s="70"/>
      <c r="O155" s="70"/>
    </row>
    <row r="156" spans="1:15" ht="12.75">
      <c r="A156" s="135">
        <v>36348</v>
      </c>
      <c r="B156" s="136">
        <v>0.3923611111111111</v>
      </c>
      <c r="C156" s="137"/>
      <c r="D156" s="137">
        <v>7.43</v>
      </c>
      <c r="E156" s="138">
        <v>214</v>
      </c>
      <c r="F156" s="137">
        <v>6.44</v>
      </c>
      <c r="G156" s="137">
        <v>16.3</v>
      </c>
      <c r="H156" s="137"/>
      <c r="I156" s="139">
        <v>1</v>
      </c>
      <c r="J156" s="137">
        <v>0.3</v>
      </c>
      <c r="K156" s="140">
        <v>0.014</v>
      </c>
      <c r="L156" s="140">
        <v>0.02</v>
      </c>
      <c r="M156" s="145">
        <v>5</v>
      </c>
      <c r="N156" s="68"/>
      <c r="O156" s="68"/>
    </row>
    <row r="157" spans="1:15" ht="12.75">
      <c r="A157" s="109">
        <v>36362</v>
      </c>
      <c r="B157" s="110">
        <v>0.4236111111111111</v>
      </c>
      <c r="C157" s="112"/>
      <c r="D157" s="112">
        <v>7.76</v>
      </c>
      <c r="E157" s="118">
        <v>229</v>
      </c>
      <c r="F157" s="112">
        <v>8.98</v>
      </c>
      <c r="G157" s="112">
        <v>21.3</v>
      </c>
      <c r="H157" s="112">
        <v>3.4</v>
      </c>
      <c r="I157" s="114"/>
      <c r="J157" s="112">
        <v>1</v>
      </c>
      <c r="K157" s="116">
        <v>0.005</v>
      </c>
      <c r="L157" s="116">
        <v>0.01</v>
      </c>
      <c r="M157" s="145">
        <v>5</v>
      </c>
      <c r="N157" s="70"/>
      <c r="O157" s="70"/>
    </row>
    <row r="158" spans="1:15" ht="12.75">
      <c r="A158" s="109">
        <v>36362</v>
      </c>
      <c r="B158" s="110">
        <v>0.43402777777777773</v>
      </c>
      <c r="C158" s="112">
        <v>2</v>
      </c>
      <c r="D158" s="112">
        <v>7.76</v>
      </c>
      <c r="E158" s="118">
        <v>229</v>
      </c>
      <c r="F158" s="112">
        <v>8.98</v>
      </c>
      <c r="G158" s="112">
        <v>21.3</v>
      </c>
      <c r="H158" s="112"/>
      <c r="I158" s="116"/>
      <c r="J158" s="112">
        <v>1.2</v>
      </c>
      <c r="K158" s="116">
        <v>0.005</v>
      </c>
      <c r="L158" s="116">
        <v>0.02</v>
      </c>
      <c r="M158" s="145">
        <v>5</v>
      </c>
      <c r="N158" s="70"/>
      <c r="O158" s="70"/>
    </row>
    <row r="159" spans="1:15" ht="12.75">
      <c r="A159" s="135">
        <v>36362</v>
      </c>
      <c r="B159" s="136">
        <v>0.4444444444444444</v>
      </c>
      <c r="C159" s="137"/>
      <c r="D159" s="137">
        <v>7.37</v>
      </c>
      <c r="E159" s="138">
        <v>225</v>
      </c>
      <c r="F159" s="137">
        <v>4.8</v>
      </c>
      <c r="G159" s="137">
        <v>18.6</v>
      </c>
      <c r="H159" s="137"/>
      <c r="I159" s="139"/>
      <c r="J159" s="137">
        <v>0.3</v>
      </c>
      <c r="K159" s="140">
        <v>0.032</v>
      </c>
      <c r="L159" s="140">
        <v>0.02</v>
      </c>
      <c r="M159" s="139">
        <v>22</v>
      </c>
      <c r="N159" s="70"/>
      <c r="O159" s="70"/>
    </row>
    <row r="160" spans="1:15" ht="12.75">
      <c r="A160" s="109">
        <v>36376</v>
      </c>
      <c r="B160" s="110">
        <v>0.4270833333333333</v>
      </c>
      <c r="C160" s="112"/>
      <c r="D160" s="112">
        <v>8.06</v>
      </c>
      <c r="E160" s="118">
        <v>216</v>
      </c>
      <c r="F160" s="112">
        <v>8.67</v>
      </c>
      <c r="G160" s="112">
        <v>20.6</v>
      </c>
      <c r="H160" s="112">
        <v>3.3</v>
      </c>
      <c r="I160" s="114">
        <v>1</v>
      </c>
      <c r="J160" s="112">
        <v>0.5</v>
      </c>
      <c r="K160" s="116">
        <v>0.017</v>
      </c>
      <c r="L160" s="116">
        <v>0.02</v>
      </c>
      <c r="M160" s="114">
        <v>14</v>
      </c>
      <c r="N160" s="91"/>
      <c r="O160" s="90"/>
    </row>
    <row r="161" spans="1:15" ht="12.75">
      <c r="A161" s="109">
        <v>36376</v>
      </c>
      <c r="B161" s="110">
        <v>0.4236111111111111</v>
      </c>
      <c r="C161" s="112">
        <v>2</v>
      </c>
      <c r="D161" s="112">
        <v>8.06</v>
      </c>
      <c r="E161" s="118">
        <v>216</v>
      </c>
      <c r="F161" s="112">
        <v>8.67</v>
      </c>
      <c r="G161" s="112">
        <v>20.6</v>
      </c>
      <c r="H161" s="112"/>
      <c r="I161" s="114">
        <v>1</v>
      </c>
      <c r="J161" s="112">
        <v>0.4</v>
      </c>
      <c r="K161" s="116">
        <v>0.009</v>
      </c>
      <c r="L161" s="116">
        <v>0.02</v>
      </c>
      <c r="M161" s="114">
        <v>10</v>
      </c>
      <c r="N161" s="69"/>
      <c r="O161" s="69"/>
    </row>
    <row r="162" spans="1:15" ht="12.75">
      <c r="A162" s="135">
        <v>36376</v>
      </c>
      <c r="B162" s="136">
        <v>0.4201388888888889</v>
      </c>
      <c r="C162" s="137"/>
      <c r="D162" s="137">
        <v>7.36</v>
      </c>
      <c r="E162" s="138">
        <v>200</v>
      </c>
      <c r="F162" s="137">
        <v>7.11</v>
      </c>
      <c r="G162" s="137">
        <v>18.2</v>
      </c>
      <c r="H162" s="137"/>
      <c r="I162" s="139">
        <v>19</v>
      </c>
      <c r="J162" s="137">
        <v>0.5</v>
      </c>
      <c r="K162" s="140">
        <v>0.096</v>
      </c>
      <c r="L162" s="140">
        <v>0.08</v>
      </c>
      <c r="M162" s="139">
        <v>90</v>
      </c>
      <c r="N162" s="41"/>
      <c r="O162" s="41"/>
    </row>
    <row r="163" spans="1:15" ht="12.75">
      <c r="A163" s="109">
        <v>36390</v>
      </c>
      <c r="B163" s="110">
        <v>0.4166666666666667</v>
      </c>
      <c r="C163" s="112"/>
      <c r="D163" s="112">
        <v>8.1</v>
      </c>
      <c r="E163" s="118">
        <v>215</v>
      </c>
      <c r="F163" s="112">
        <v>8.61</v>
      </c>
      <c r="G163" s="112">
        <v>20.3</v>
      </c>
      <c r="H163" s="112">
        <v>3.6</v>
      </c>
      <c r="I163" s="114"/>
      <c r="J163" s="112">
        <v>0.4</v>
      </c>
      <c r="K163" s="116">
        <v>0.005</v>
      </c>
      <c r="L163" s="116">
        <v>0.01</v>
      </c>
      <c r="M163" s="114">
        <v>5</v>
      </c>
      <c r="N163" s="63"/>
      <c r="O163" s="63"/>
    </row>
    <row r="164" spans="1:15" ht="12.75">
      <c r="A164" s="109">
        <v>36390</v>
      </c>
      <c r="B164" s="111">
        <v>9999</v>
      </c>
      <c r="C164" s="112"/>
      <c r="D164" s="112">
        <v>8.1</v>
      </c>
      <c r="E164" s="118">
        <v>215</v>
      </c>
      <c r="F164" s="112">
        <v>8.61</v>
      </c>
      <c r="G164" s="112">
        <v>20.3</v>
      </c>
      <c r="H164" s="112"/>
      <c r="I164" s="114"/>
      <c r="J164" s="112">
        <v>0.3</v>
      </c>
      <c r="K164" s="116">
        <v>0.005</v>
      </c>
      <c r="L164" s="116">
        <v>0.01</v>
      </c>
      <c r="M164" s="114">
        <v>5</v>
      </c>
      <c r="N164" s="41"/>
      <c r="O164" s="41"/>
    </row>
    <row r="165" spans="1:15" ht="12.75">
      <c r="A165" s="109">
        <v>36390</v>
      </c>
      <c r="B165" s="110">
        <v>0.40625</v>
      </c>
      <c r="C165" s="112">
        <v>3.5</v>
      </c>
      <c r="D165" s="112">
        <v>8.1</v>
      </c>
      <c r="E165" s="118">
        <v>215</v>
      </c>
      <c r="F165" s="112">
        <v>8.63</v>
      </c>
      <c r="G165" s="112">
        <v>20.2</v>
      </c>
      <c r="H165" s="112"/>
      <c r="I165" s="114"/>
      <c r="J165" s="112">
        <v>0.2</v>
      </c>
      <c r="K165" s="116">
        <v>0.005</v>
      </c>
      <c r="L165" s="116">
        <v>0.01</v>
      </c>
      <c r="M165" s="114">
        <v>5</v>
      </c>
      <c r="N165" s="41"/>
      <c r="O165" s="41"/>
    </row>
    <row r="166" spans="1:15" ht="12.75">
      <c r="A166" s="135">
        <v>36390</v>
      </c>
      <c r="B166" s="136">
        <v>0.3958333333333333</v>
      </c>
      <c r="C166" s="137"/>
      <c r="D166" s="137">
        <v>7.31</v>
      </c>
      <c r="E166" s="138">
        <v>212</v>
      </c>
      <c r="F166" s="137">
        <v>6.19</v>
      </c>
      <c r="G166" s="137">
        <v>18.4</v>
      </c>
      <c r="H166" s="137"/>
      <c r="I166" s="139"/>
      <c r="J166" s="137">
        <v>0.3</v>
      </c>
      <c r="K166" s="116">
        <v>0.005</v>
      </c>
      <c r="L166" s="116">
        <v>0.01</v>
      </c>
      <c r="M166" s="114">
        <v>5</v>
      </c>
      <c r="N166" s="77"/>
      <c r="O166" s="77"/>
    </row>
    <row r="167" spans="1:15" ht="12.75">
      <c r="A167" s="109">
        <v>36404</v>
      </c>
      <c r="B167" s="110">
        <v>0.3854166666666667</v>
      </c>
      <c r="C167" s="112"/>
      <c r="D167" s="112">
        <v>8.12</v>
      </c>
      <c r="E167" s="118">
        <v>218</v>
      </c>
      <c r="F167" s="112">
        <v>8.9</v>
      </c>
      <c r="G167" s="112">
        <v>21.1</v>
      </c>
      <c r="H167" s="112">
        <v>3.2</v>
      </c>
      <c r="I167" s="114">
        <v>1</v>
      </c>
      <c r="J167" s="112">
        <v>0.1</v>
      </c>
      <c r="K167" s="116">
        <v>0.005</v>
      </c>
      <c r="L167" s="116">
        <v>0.01</v>
      </c>
      <c r="M167" s="114">
        <v>5</v>
      </c>
      <c r="N167" s="77"/>
      <c r="O167" s="77"/>
    </row>
    <row r="168" spans="1:15" ht="12.75">
      <c r="A168" s="109">
        <v>36404</v>
      </c>
      <c r="B168" s="110">
        <v>0.3958333333333333</v>
      </c>
      <c r="C168" s="112">
        <v>2</v>
      </c>
      <c r="D168" s="112">
        <v>8.12</v>
      </c>
      <c r="E168" s="118">
        <v>218</v>
      </c>
      <c r="F168" s="112">
        <v>8.9</v>
      </c>
      <c r="G168" s="112">
        <v>21.1</v>
      </c>
      <c r="H168" s="112"/>
      <c r="I168" s="114">
        <v>2</v>
      </c>
      <c r="J168" s="112">
        <v>0.2</v>
      </c>
      <c r="K168" s="116">
        <v>0.005</v>
      </c>
      <c r="L168" s="116">
        <v>0.01</v>
      </c>
      <c r="M168" s="114">
        <v>5</v>
      </c>
      <c r="N168" s="77"/>
      <c r="O168" s="77"/>
    </row>
    <row r="169" spans="1:15" ht="12.75">
      <c r="A169" s="109">
        <v>36404</v>
      </c>
      <c r="B169" s="111">
        <v>9999</v>
      </c>
      <c r="C169" s="112"/>
      <c r="D169" s="112">
        <v>8.1</v>
      </c>
      <c r="E169" s="118">
        <v>218</v>
      </c>
      <c r="F169" s="112">
        <v>8.9</v>
      </c>
      <c r="G169" s="112">
        <v>21.1</v>
      </c>
      <c r="H169" s="112"/>
      <c r="I169" s="114">
        <v>1</v>
      </c>
      <c r="J169" s="112">
        <v>0.1</v>
      </c>
      <c r="K169" s="116">
        <v>0.005</v>
      </c>
      <c r="L169" s="116">
        <v>0.01</v>
      </c>
      <c r="M169" s="114">
        <v>12</v>
      </c>
      <c r="N169" s="154"/>
      <c r="O169" s="77"/>
    </row>
    <row r="170" spans="1:15" ht="12.75">
      <c r="A170" s="135">
        <v>36404</v>
      </c>
      <c r="B170" s="136">
        <v>0.40625</v>
      </c>
      <c r="C170" s="137"/>
      <c r="D170" s="137">
        <v>7.46</v>
      </c>
      <c r="E170" s="138">
        <v>209</v>
      </c>
      <c r="F170" s="137">
        <v>4.17</v>
      </c>
      <c r="G170" s="137">
        <v>18.5</v>
      </c>
      <c r="H170" s="137"/>
      <c r="I170" s="139">
        <v>4</v>
      </c>
      <c r="J170" s="137">
        <v>0.2</v>
      </c>
      <c r="K170" s="140">
        <v>0.008</v>
      </c>
      <c r="L170" s="140">
        <v>0.01</v>
      </c>
      <c r="M170" s="139">
        <v>12</v>
      </c>
      <c r="N170" s="155"/>
      <c r="O170" s="48"/>
    </row>
    <row r="171" spans="1:15" ht="12.75">
      <c r="A171" s="109">
        <v>36418</v>
      </c>
      <c r="B171" s="110">
        <v>0.40625</v>
      </c>
      <c r="C171" s="112"/>
      <c r="D171" s="112">
        <v>7.36</v>
      </c>
      <c r="E171" s="118">
        <v>226</v>
      </c>
      <c r="F171" s="112">
        <v>7.54</v>
      </c>
      <c r="G171" s="112">
        <v>17.8</v>
      </c>
      <c r="H171" s="112">
        <v>4</v>
      </c>
      <c r="I171" s="114"/>
      <c r="J171" s="112">
        <v>0.7</v>
      </c>
      <c r="K171" s="116">
        <v>0.02</v>
      </c>
      <c r="L171" s="116">
        <v>0.011</v>
      </c>
      <c r="M171" s="114">
        <v>5</v>
      </c>
      <c r="N171" s="48"/>
      <c r="O171" s="48"/>
    </row>
    <row r="172" spans="1:15" ht="12.75">
      <c r="A172" s="109">
        <v>36418</v>
      </c>
      <c r="B172" s="110">
        <v>0.4166666666666667</v>
      </c>
      <c r="C172" s="112">
        <v>2</v>
      </c>
      <c r="D172" s="112">
        <v>7.36</v>
      </c>
      <c r="E172" s="118">
        <v>226</v>
      </c>
      <c r="F172" s="112">
        <v>7.54</v>
      </c>
      <c r="G172" s="112">
        <v>17.8</v>
      </c>
      <c r="H172" s="112"/>
      <c r="I172" s="114"/>
      <c r="J172" s="112">
        <v>0.1</v>
      </c>
      <c r="K172" s="116">
        <v>0.012</v>
      </c>
      <c r="L172" s="116">
        <v>0.01</v>
      </c>
      <c r="M172" s="114">
        <v>5</v>
      </c>
      <c r="N172" s="48"/>
      <c r="O172" s="48"/>
    </row>
    <row r="173" spans="1:15" ht="12.75">
      <c r="A173" s="135">
        <v>36418</v>
      </c>
      <c r="B173" s="136">
        <v>0.4270833333333333</v>
      </c>
      <c r="C173" s="137"/>
      <c r="D173" s="137">
        <v>5.93</v>
      </c>
      <c r="E173" s="138">
        <v>227</v>
      </c>
      <c r="F173" s="137">
        <v>7.54</v>
      </c>
      <c r="G173" s="137">
        <v>17.6</v>
      </c>
      <c r="H173" s="137"/>
      <c r="I173" s="139"/>
      <c r="J173" s="137">
        <v>0.8</v>
      </c>
      <c r="K173" s="140">
        <v>0.011</v>
      </c>
      <c r="L173" s="140">
        <v>0.02</v>
      </c>
      <c r="M173" s="139">
        <v>8</v>
      </c>
      <c r="N173" s="48"/>
      <c r="O173" s="48"/>
    </row>
    <row r="174" spans="1:15" ht="12.75">
      <c r="A174" s="109">
        <v>36446</v>
      </c>
      <c r="B174" s="110">
        <v>0.40972222222222227</v>
      </c>
      <c r="C174" s="112"/>
      <c r="D174" s="112">
        <v>7.97</v>
      </c>
      <c r="E174" s="118">
        <v>243</v>
      </c>
      <c r="F174" s="112">
        <v>10.6</v>
      </c>
      <c r="G174" s="112">
        <v>13.3</v>
      </c>
      <c r="H174" s="112">
        <v>7.3</v>
      </c>
      <c r="I174" s="114">
        <v>8</v>
      </c>
      <c r="J174" s="112">
        <v>0.3</v>
      </c>
      <c r="K174" s="116">
        <v>0.01</v>
      </c>
      <c r="L174" s="116">
        <v>0.02</v>
      </c>
      <c r="M174" s="114">
        <v>10</v>
      </c>
      <c r="N174" s="156"/>
      <c r="O174" s="156"/>
    </row>
    <row r="175" spans="1:15" ht="12.75">
      <c r="A175" s="109">
        <v>36446</v>
      </c>
      <c r="B175" s="111">
        <v>9999</v>
      </c>
      <c r="C175" s="112"/>
      <c r="D175" s="112">
        <v>7.97</v>
      </c>
      <c r="E175" s="118">
        <v>243</v>
      </c>
      <c r="F175" s="112">
        <v>10.6</v>
      </c>
      <c r="G175" s="112">
        <v>13.3</v>
      </c>
      <c r="H175" s="112"/>
      <c r="I175" s="114">
        <v>8</v>
      </c>
      <c r="J175" s="112">
        <v>0.3</v>
      </c>
      <c r="K175" s="116">
        <v>0.008</v>
      </c>
      <c r="L175" s="116">
        <v>0.01</v>
      </c>
      <c r="M175" s="114">
        <v>12</v>
      </c>
      <c r="N175" s="7"/>
      <c r="O175" s="7"/>
    </row>
    <row r="176" spans="1:15" ht="12.75">
      <c r="A176" s="109">
        <v>36446</v>
      </c>
      <c r="B176" s="110">
        <v>0.4201388888888889</v>
      </c>
      <c r="C176" s="112">
        <v>2.5</v>
      </c>
      <c r="D176" s="112">
        <v>7.97</v>
      </c>
      <c r="E176" s="118">
        <v>243</v>
      </c>
      <c r="F176" s="112">
        <v>10.6</v>
      </c>
      <c r="G176" s="112">
        <v>13.3</v>
      </c>
      <c r="H176" s="112"/>
      <c r="I176" s="114">
        <v>7</v>
      </c>
      <c r="J176" s="112">
        <v>0.3</v>
      </c>
      <c r="K176" s="116">
        <v>0.01</v>
      </c>
      <c r="L176" s="116">
        <v>0.03</v>
      </c>
      <c r="M176" s="114">
        <v>10</v>
      </c>
      <c r="N176" s="7"/>
      <c r="O176" s="7"/>
    </row>
    <row r="177" spans="1:15" ht="12.75">
      <c r="A177" s="135">
        <v>36446</v>
      </c>
      <c r="B177" s="136">
        <v>0.4305555555555556</v>
      </c>
      <c r="C177" s="137"/>
      <c r="D177" s="137">
        <v>7.24</v>
      </c>
      <c r="E177" s="138">
        <v>246</v>
      </c>
      <c r="F177" s="137">
        <v>10.6</v>
      </c>
      <c r="G177" s="137">
        <v>13.2</v>
      </c>
      <c r="H177" s="137"/>
      <c r="I177" s="139">
        <v>15</v>
      </c>
      <c r="J177" s="137">
        <v>0.1</v>
      </c>
      <c r="K177" s="140">
        <v>0.01</v>
      </c>
      <c r="L177" s="140">
        <v>0.01</v>
      </c>
      <c r="M177" s="139">
        <v>14</v>
      </c>
      <c r="N177" s="7"/>
      <c r="O177" s="7"/>
    </row>
    <row r="178" spans="1:15" ht="12.75">
      <c r="A178" s="109">
        <v>36474</v>
      </c>
      <c r="B178" s="110">
        <v>0.40972222222222227</v>
      </c>
      <c r="C178" s="112"/>
      <c r="D178" s="112">
        <v>7.64</v>
      </c>
      <c r="E178" s="118">
        <v>254</v>
      </c>
      <c r="F178" s="112">
        <v>11.09</v>
      </c>
      <c r="G178" s="112">
        <v>8.8</v>
      </c>
      <c r="H178" s="112">
        <v>5.3</v>
      </c>
      <c r="I178" s="114">
        <v>4</v>
      </c>
      <c r="J178" s="112">
        <v>0.2</v>
      </c>
      <c r="K178" s="116">
        <v>0.005</v>
      </c>
      <c r="L178" s="116">
        <v>0.01</v>
      </c>
      <c r="M178" s="114">
        <v>5</v>
      </c>
      <c r="N178" s="7"/>
      <c r="O178" s="7"/>
    </row>
    <row r="179" spans="1:15" ht="12.75">
      <c r="A179" s="109">
        <v>36474</v>
      </c>
      <c r="B179" s="110">
        <v>0.4166666666666667</v>
      </c>
      <c r="C179" s="112">
        <v>2</v>
      </c>
      <c r="D179" s="112">
        <v>7.64</v>
      </c>
      <c r="E179" s="118">
        <v>254</v>
      </c>
      <c r="F179" s="112">
        <v>11.09</v>
      </c>
      <c r="G179" s="112">
        <v>8.8</v>
      </c>
      <c r="H179" s="112"/>
      <c r="I179" s="114">
        <v>2</v>
      </c>
      <c r="J179" s="112">
        <v>0.1</v>
      </c>
      <c r="K179" s="116">
        <v>0.005</v>
      </c>
      <c r="L179" s="116">
        <v>0.01</v>
      </c>
      <c r="M179" s="114">
        <v>5</v>
      </c>
      <c r="N179" s="7"/>
      <c r="O179" s="7"/>
    </row>
    <row r="180" spans="1:15" ht="12.75">
      <c r="A180" s="135">
        <v>36474</v>
      </c>
      <c r="B180" s="136">
        <v>0.4270833333333333</v>
      </c>
      <c r="C180" s="137"/>
      <c r="D180" s="137">
        <v>6.95</v>
      </c>
      <c r="E180" s="138">
        <v>263</v>
      </c>
      <c r="F180" s="137">
        <v>11.67</v>
      </c>
      <c r="G180" s="137">
        <v>8.6</v>
      </c>
      <c r="H180" s="137"/>
      <c r="I180" s="139">
        <v>7</v>
      </c>
      <c r="J180" s="137">
        <v>0.2</v>
      </c>
      <c r="K180" s="116">
        <v>0.005</v>
      </c>
      <c r="L180" s="140">
        <v>0.01</v>
      </c>
      <c r="M180" s="114">
        <v>5</v>
      </c>
      <c r="N180" s="7"/>
      <c r="O180" s="7"/>
    </row>
    <row r="181" spans="1:15" ht="12.75">
      <c r="A181" s="109">
        <v>36509</v>
      </c>
      <c r="B181" s="110">
        <v>0.4270833333333333</v>
      </c>
      <c r="C181" s="112"/>
      <c r="D181" s="112">
        <v>7.54</v>
      </c>
      <c r="E181" s="118">
        <v>291</v>
      </c>
      <c r="F181" s="112">
        <v>11.31</v>
      </c>
      <c r="G181" s="112">
        <v>2</v>
      </c>
      <c r="H181" s="112">
        <v>1.9</v>
      </c>
      <c r="I181" s="114">
        <v>1</v>
      </c>
      <c r="J181" s="112">
        <v>0.4</v>
      </c>
      <c r="K181" s="116">
        <v>0.009</v>
      </c>
      <c r="L181" s="140">
        <v>0.01</v>
      </c>
      <c r="M181" s="114">
        <v>5</v>
      </c>
      <c r="N181" s="7"/>
      <c r="O181" s="7"/>
    </row>
    <row r="182" spans="1:15" ht="12.75">
      <c r="A182" s="109">
        <v>36509</v>
      </c>
      <c r="B182" s="110">
        <v>0.4375</v>
      </c>
      <c r="C182" s="112">
        <v>2.5</v>
      </c>
      <c r="D182" s="112">
        <v>7.54</v>
      </c>
      <c r="E182" s="118">
        <v>291</v>
      </c>
      <c r="F182" s="112">
        <v>11.31</v>
      </c>
      <c r="G182" s="112">
        <v>2</v>
      </c>
      <c r="H182" s="112"/>
      <c r="I182" s="114">
        <v>1</v>
      </c>
      <c r="J182" s="112">
        <v>0.2</v>
      </c>
      <c r="K182" s="116">
        <v>0.007</v>
      </c>
      <c r="L182" s="140">
        <v>0.01</v>
      </c>
      <c r="M182" s="114">
        <v>5</v>
      </c>
      <c r="N182" s="7"/>
      <c r="O182" s="7"/>
    </row>
    <row r="183" spans="1:15" ht="12.75">
      <c r="A183" s="135">
        <v>36509</v>
      </c>
      <c r="B183" s="136">
        <v>0.4479166666666667</v>
      </c>
      <c r="C183" s="137"/>
      <c r="D183" s="137">
        <v>6.74</v>
      </c>
      <c r="E183" s="138">
        <v>291</v>
      </c>
      <c r="F183" s="137">
        <v>10.56</v>
      </c>
      <c r="G183" s="137">
        <v>2.1</v>
      </c>
      <c r="H183" s="137"/>
      <c r="I183" s="139">
        <v>1</v>
      </c>
      <c r="J183" s="137">
        <v>0.2</v>
      </c>
      <c r="K183" s="140">
        <v>0.006</v>
      </c>
      <c r="L183" s="116">
        <v>0.01</v>
      </c>
      <c r="M183" s="114">
        <v>5</v>
      </c>
      <c r="N183" s="7"/>
      <c r="O183" s="7"/>
    </row>
    <row r="184" spans="1:15" ht="12.75">
      <c r="A184" s="104"/>
      <c r="B184" s="104"/>
      <c r="C184" s="147">
        <f aca="true" t="shared" si="45" ref="C184:M184">AVERAGE(C131:C183)</f>
        <v>2.14</v>
      </c>
      <c r="D184" s="147">
        <f t="shared" si="45"/>
        <v>7.667924528301889</v>
      </c>
      <c r="E184" s="147">
        <f t="shared" si="45"/>
        <v>264.1132075471698</v>
      </c>
      <c r="F184" s="147">
        <f t="shared" si="45"/>
        <v>10.306037735849056</v>
      </c>
      <c r="G184" s="147">
        <f t="shared" si="45"/>
        <v>12.973584905660376</v>
      </c>
      <c r="H184" s="147">
        <f t="shared" si="45"/>
        <v>4.3125</v>
      </c>
      <c r="I184" s="147">
        <f t="shared" si="45"/>
        <v>4.595238095238095</v>
      </c>
      <c r="J184" s="147">
        <f t="shared" si="45"/>
        <v>0.30961538461538457</v>
      </c>
      <c r="K184" s="153">
        <f t="shared" si="45"/>
        <v>0.014754716981132083</v>
      </c>
      <c r="L184" s="153">
        <f t="shared" si="45"/>
        <v>0.019826923076923082</v>
      </c>
      <c r="M184" s="153">
        <f t="shared" si="45"/>
        <v>11.25</v>
      </c>
      <c r="N184" s="7"/>
      <c r="O184" s="7"/>
    </row>
    <row r="185" spans="1:19" ht="12.75">
      <c r="A185" s="148"/>
      <c r="B185" s="149"/>
      <c r="C185" s="103"/>
      <c r="D185" s="103"/>
      <c r="E185" s="103"/>
      <c r="F185" s="103"/>
      <c r="G185" s="103"/>
      <c r="H185" s="10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22.5">
      <c r="A186" s="93" t="s">
        <v>166</v>
      </c>
      <c r="B186" s="92">
        <v>1998</v>
      </c>
      <c r="C186" s="94">
        <v>1999</v>
      </c>
      <c r="D186" s="103"/>
      <c r="E186" s="103"/>
      <c r="F186" s="103"/>
      <c r="G186" s="103"/>
      <c r="H186" s="10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93" t="s">
        <v>167</v>
      </c>
      <c r="B187" s="92">
        <v>6.9</v>
      </c>
      <c r="C187" s="167">
        <f>MAX(H131:H183)</f>
        <v>11</v>
      </c>
      <c r="D187" s="103"/>
      <c r="E187" s="103"/>
      <c r="F187" s="103"/>
      <c r="G187" s="103"/>
      <c r="H187" s="10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93" t="s">
        <v>168</v>
      </c>
      <c r="B188" s="92">
        <v>4.2</v>
      </c>
      <c r="C188" s="167">
        <f>AVERAGE(H131:H183)</f>
        <v>4.3125</v>
      </c>
      <c r="D188" s="103"/>
      <c r="E188" s="103"/>
      <c r="F188" s="103"/>
      <c r="G188" s="103"/>
      <c r="H188" s="10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93" t="s">
        <v>169</v>
      </c>
      <c r="B189" s="92">
        <v>3.3</v>
      </c>
      <c r="C189" s="167">
        <f>AVERAGE(H146:H173)</f>
        <v>4.2125</v>
      </c>
      <c r="D189" s="103"/>
      <c r="E189" s="103"/>
      <c r="F189" s="103"/>
      <c r="G189" s="103"/>
      <c r="H189" s="10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92" t="s">
        <v>170</v>
      </c>
      <c r="B190" s="92">
        <v>2.6</v>
      </c>
      <c r="C190" s="167">
        <f>AVERAGE(C131:C183)</f>
        <v>2.14</v>
      </c>
      <c r="D190" s="103"/>
      <c r="E190" s="103"/>
      <c r="F190" s="103"/>
      <c r="G190" s="103"/>
      <c r="H190" s="103"/>
      <c r="I190" s="103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92" t="s">
        <v>171</v>
      </c>
      <c r="B191" s="92">
        <v>3.1</v>
      </c>
      <c r="C191" s="167">
        <f>AVERAGE(C147:C173)</f>
        <v>1.8875</v>
      </c>
      <c r="D191" s="103"/>
      <c r="E191" s="7"/>
      <c r="F191" s="103"/>
      <c r="G191" s="103"/>
      <c r="H191" s="103"/>
      <c r="I191" s="103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92" t="s">
        <v>172</v>
      </c>
      <c r="B192" s="92">
        <v>17</v>
      </c>
      <c r="C192" s="167">
        <v>20</v>
      </c>
      <c r="D192" s="103"/>
      <c r="E192" s="7"/>
      <c r="F192" s="150"/>
      <c r="G192" s="151"/>
      <c r="H192" s="151"/>
      <c r="I192" s="103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92" t="s">
        <v>173</v>
      </c>
      <c r="B193" s="92">
        <v>19.3</v>
      </c>
      <c r="C193" s="167">
        <v>27</v>
      </c>
      <c r="D193" s="103"/>
      <c r="E193" s="7"/>
      <c r="F193" s="152"/>
      <c r="G193" s="149"/>
      <c r="H193" s="149"/>
      <c r="I193" s="103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92" t="s">
        <v>176</v>
      </c>
      <c r="B194" s="92">
        <v>46</v>
      </c>
      <c r="C194" s="167">
        <v>100</v>
      </c>
      <c r="D194" s="103"/>
      <c r="E194" s="7"/>
      <c r="F194" s="152"/>
      <c r="G194" s="149"/>
      <c r="H194" s="149"/>
      <c r="I194" s="103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92" t="s">
        <v>177</v>
      </c>
      <c r="B195" s="168">
        <v>207700</v>
      </c>
      <c r="C195" s="166">
        <v>194300</v>
      </c>
      <c r="D195" s="103"/>
      <c r="E195" s="7"/>
      <c r="F195" s="152"/>
      <c r="G195" s="149"/>
      <c r="H195" s="149"/>
      <c r="I195" s="103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92" t="s">
        <v>178</v>
      </c>
      <c r="B196" s="168">
        <v>58429</v>
      </c>
      <c r="C196" s="168">
        <v>56712</v>
      </c>
      <c r="D196" s="103"/>
      <c r="E196" s="7"/>
      <c r="F196" s="152"/>
      <c r="G196" s="149"/>
      <c r="H196" s="149"/>
      <c r="I196" s="103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92" t="s">
        <v>179</v>
      </c>
      <c r="B197" s="168">
        <v>106635</v>
      </c>
      <c r="C197" s="168">
        <v>113700</v>
      </c>
      <c r="D197" s="103"/>
      <c r="E197" s="7"/>
      <c r="F197" s="152"/>
      <c r="G197" s="149"/>
      <c r="H197" s="149"/>
      <c r="I197" s="103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92" t="s">
        <v>180</v>
      </c>
      <c r="B198" s="168">
        <v>44452000</v>
      </c>
      <c r="C198" s="168">
        <v>94041000</v>
      </c>
      <c r="D198" s="103"/>
      <c r="E198" s="7"/>
      <c r="F198" s="152"/>
      <c r="G198" s="149"/>
      <c r="H198" s="149"/>
      <c r="I198" s="103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92" t="s">
        <v>25</v>
      </c>
      <c r="B199" s="92" t="s">
        <v>182</v>
      </c>
      <c r="C199" s="94" t="s">
        <v>183</v>
      </c>
      <c r="D199" s="103"/>
      <c r="E199" s="7"/>
      <c r="F199" s="152"/>
      <c r="G199" s="149"/>
      <c r="H199" s="149"/>
      <c r="I199" s="103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92" t="s">
        <v>30</v>
      </c>
      <c r="B200" s="92" t="s">
        <v>181</v>
      </c>
      <c r="C200" s="94" t="s">
        <v>184</v>
      </c>
      <c r="D200" s="103"/>
      <c r="E200" s="7"/>
      <c r="F200" s="152"/>
      <c r="G200" s="149"/>
      <c r="H200" s="149"/>
      <c r="I200" s="103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152"/>
      <c r="G201" s="149"/>
      <c r="H201" s="149"/>
      <c r="I201" s="103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152"/>
      <c r="G202" s="149"/>
      <c r="H202" s="149"/>
      <c r="I202" s="103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103"/>
      <c r="G203" s="103"/>
      <c r="H203" s="103"/>
      <c r="I203" s="103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89"/>
      <c r="C213" s="8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95"/>
      <c r="B214" s="89"/>
      <c r="C214" s="8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89"/>
      <c r="C224" s="8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9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35"/>
      <c r="B228" s="35"/>
      <c r="C228" s="39"/>
      <c r="D228" s="37"/>
      <c r="E228" s="39"/>
      <c r="F228" s="35"/>
      <c r="G228" s="36"/>
      <c r="H228" s="36"/>
      <c r="I228" s="62"/>
      <c r="J228" s="35"/>
      <c r="K228" s="62"/>
      <c r="L228" s="62"/>
      <c r="M228" s="35"/>
      <c r="N228" s="35"/>
      <c r="O228" s="38"/>
      <c r="P228" s="62"/>
      <c r="Q228" s="38"/>
      <c r="R228" s="38"/>
      <c r="S228" s="62"/>
    </row>
    <row r="229" spans="1:19" ht="12.75">
      <c r="A229" s="35"/>
      <c r="B229" s="35"/>
      <c r="C229" s="39"/>
      <c r="D229" s="96"/>
      <c r="E229" s="39"/>
      <c r="F229" s="35"/>
      <c r="G229" s="40"/>
      <c r="H229" s="36"/>
      <c r="I229" s="38"/>
      <c r="J229" s="38"/>
      <c r="K229" s="38"/>
      <c r="L229" s="38"/>
      <c r="M229" s="38"/>
      <c r="N229" s="38"/>
      <c r="O229" s="38"/>
      <c r="P229" s="64"/>
      <c r="Q229" s="41"/>
      <c r="R229" s="41"/>
      <c r="S229" s="41"/>
    </row>
    <row r="230" spans="1:19" ht="12.75">
      <c r="A230" s="35"/>
      <c r="B230" s="35"/>
      <c r="C230" s="39"/>
      <c r="D230" s="39"/>
      <c r="E230" s="39"/>
      <c r="F230" s="38"/>
      <c r="G230" s="40"/>
      <c r="H230" s="40"/>
      <c r="I230" s="38"/>
      <c r="J230" s="38"/>
      <c r="K230" s="38"/>
      <c r="L230" s="38"/>
      <c r="M230" s="38"/>
      <c r="N230" s="38"/>
      <c r="O230" s="63"/>
      <c r="P230" s="63"/>
      <c r="Q230" s="63"/>
      <c r="R230" s="63"/>
      <c r="S230" s="63"/>
    </row>
    <row r="231" spans="1:19" ht="12.75">
      <c r="A231" s="42"/>
      <c r="B231" s="42"/>
      <c r="C231" s="44"/>
      <c r="D231" s="44"/>
      <c r="E231" s="44"/>
      <c r="F231" s="42"/>
      <c r="G231" s="43"/>
      <c r="H231" s="43"/>
      <c r="I231" s="42"/>
      <c r="J231" s="42"/>
      <c r="K231" s="42"/>
      <c r="L231" s="42"/>
      <c r="M231" s="45"/>
      <c r="N231" s="42"/>
      <c r="O231" s="42"/>
      <c r="P231" s="42"/>
      <c r="Q231" s="42"/>
      <c r="R231" s="42"/>
      <c r="S231" s="42"/>
    </row>
    <row r="232" spans="1:19" ht="12.75">
      <c r="A232" s="65"/>
      <c r="B232" s="66"/>
      <c r="C232" s="68"/>
      <c r="D232" s="68"/>
      <c r="E232" s="68"/>
      <c r="F232" s="66"/>
      <c r="G232" s="67"/>
      <c r="H232" s="67"/>
      <c r="I232" s="70"/>
      <c r="J232" s="70"/>
      <c r="K232" s="70"/>
      <c r="L232" s="70"/>
      <c r="M232" s="70"/>
      <c r="N232" s="83"/>
      <c r="O232" s="70"/>
      <c r="P232" s="86"/>
      <c r="Q232" s="70"/>
      <c r="R232" s="70"/>
      <c r="S232" s="69"/>
    </row>
    <row r="233" spans="1:19" ht="12.75">
      <c r="A233" s="65"/>
      <c r="B233" s="66"/>
      <c r="C233" s="68"/>
      <c r="D233" s="68"/>
      <c r="E233" s="68"/>
      <c r="F233" s="66"/>
      <c r="G233" s="67"/>
      <c r="H233" s="67"/>
      <c r="I233" s="70"/>
      <c r="J233" s="86"/>
      <c r="K233" s="70"/>
      <c r="L233" s="70"/>
      <c r="M233" s="70"/>
      <c r="N233" s="83"/>
      <c r="O233" s="70"/>
      <c r="P233" s="70"/>
      <c r="Q233" s="70"/>
      <c r="R233" s="70"/>
      <c r="S233" s="69"/>
    </row>
    <row r="234" spans="1:19" ht="12.75">
      <c r="A234" s="65"/>
      <c r="B234" s="66"/>
      <c r="C234" s="68"/>
      <c r="D234" s="68"/>
      <c r="E234" s="68"/>
      <c r="F234" s="66"/>
      <c r="G234" s="67"/>
      <c r="H234" s="67"/>
      <c r="I234" s="70"/>
      <c r="J234" s="70"/>
      <c r="K234" s="70"/>
      <c r="L234" s="70"/>
      <c r="M234" s="70"/>
      <c r="N234" s="83"/>
      <c r="O234" s="70"/>
      <c r="P234" s="70"/>
      <c r="Q234" s="70"/>
      <c r="R234" s="70"/>
      <c r="S234" s="70"/>
    </row>
    <row r="235" spans="1:19" ht="12.75">
      <c r="A235" s="65"/>
      <c r="B235" s="66"/>
      <c r="C235" s="68"/>
      <c r="D235" s="68"/>
      <c r="E235" s="68"/>
      <c r="F235" s="66"/>
      <c r="G235" s="67"/>
      <c r="H235" s="67"/>
      <c r="I235" s="70"/>
      <c r="J235" s="70"/>
      <c r="K235" s="70"/>
      <c r="L235" s="70"/>
      <c r="M235" s="70"/>
      <c r="N235" s="83"/>
      <c r="O235" s="70"/>
      <c r="P235" s="70"/>
      <c r="Q235" s="69"/>
      <c r="R235" s="69"/>
      <c r="S235" s="69"/>
    </row>
    <row r="236" spans="1:19" ht="12.75">
      <c r="A236" s="65"/>
      <c r="B236" s="66"/>
      <c r="C236" s="68"/>
      <c r="D236" s="68"/>
      <c r="E236" s="68"/>
      <c r="F236" s="66"/>
      <c r="G236" s="67"/>
      <c r="H236" s="67"/>
      <c r="I236" s="70"/>
      <c r="J236" s="70"/>
      <c r="K236" s="70"/>
      <c r="L236" s="86"/>
      <c r="M236" s="70"/>
      <c r="N236" s="83"/>
      <c r="O236" s="70"/>
      <c r="P236" s="70"/>
      <c r="Q236" s="70"/>
      <c r="R236" s="70"/>
      <c r="S236" s="86"/>
    </row>
    <row r="237" spans="1:19" ht="12.75">
      <c r="A237" s="65"/>
      <c r="B237" s="66"/>
      <c r="C237" s="68"/>
      <c r="D237" s="68"/>
      <c r="E237" s="68"/>
      <c r="F237" s="66"/>
      <c r="G237" s="67"/>
      <c r="H237" s="67"/>
      <c r="I237" s="70"/>
      <c r="J237" s="70"/>
      <c r="K237" s="70"/>
      <c r="L237" s="70"/>
      <c r="M237" s="70"/>
      <c r="N237" s="83"/>
      <c r="O237" s="70"/>
      <c r="P237" s="70"/>
      <c r="Q237" s="70"/>
      <c r="R237" s="70"/>
      <c r="S237" s="70"/>
    </row>
    <row r="238" spans="1:19" ht="12.75">
      <c r="A238" s="65"/>
      <c r="B238" s="66"/>
      <c r="C238" s="68"/>
      <c r="D238" s="68"/>
      <c r="E238" s="68"/>
      <c r="F238" s="79"/>
      <c r="G238" s="67"/>
      <c r="H238" s="67"/>
      <c r="I238" s="70"/>
      <c r="J238" s="70"/>
      <c r="K238" s="70"/>
      <c r="L238" s="70"/>
      <c r="M238" s="70"/>
      <c r="N238" s="83"/>
      <c r="O238" s="70"/>
      <c r="P238" s="70"/>
      <c r="Q238" s="70"/>
      <c r="R238" s="70"/>
      <c r="S238" s="70"/>
    </row>
    <row r="239" spans="1:19" ht="12.75">
      <c r="A239" s="65"/>
      <c r="B239" s="66"/>
      <c r="C239" s="68"/>
      <c r="D239" s="68"/>
      <c r="E239" s="68"/>
      <c r="F239" s="78"/>
      <c r="G239" s="67"/>
      <c r="H239" s="67"/>
      <c r="I239" s="78"/>
      <c r="J239" s="78"/>
      <c r="K239" s="70"/>
      <c r="L239" s="70"/>
      <c r="M239" s="70"/>
      <c r="N239" s="83"/>
      <c r="O239" s="70"/>
      <c r="P239" s="70"/>
      <c r="Q239" s="70"/>
      <c r="R239" s="70"/>
      <c r="S239" s="70"/>
    </row>
    <row r="240" spans="1:19" ht="12.75">
      <c r="A240" s="65"/>
      <c r="B240" s="66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</row>
    <row r="241" spans="1:19" ht="12.75">
      <c r="A241" s="65"/>
      <c r="B241" s="66"/>
      <c r="C241" s="68"/>
      <c r="D241" s="68"/>
      <c r="E241" s="68"/>
      <c r="F241" s="79"/>
      <c r="G241" s="67"/>
      <c r="H241" s="67"/>
      <c r="I241" s="70"/>
      <c r="J241" s="70"/>
      <c r="K241" s="86"/>
      <c r="L241" s="70"/>
      <c r="M241" s="86"/>
      <c r="N241" s="85"/>
      <c r="O241" s="86"/>
      <c r="P241" s="70"/>
      <c r="Q241" s="70"/>
      <c r="R241" s="70"/>
      <c r="S241" s="70"/>
    </row>
    <row r="242" spans="1:19" ht="12.75">
      <c r="A242" s="65"/>
      <c r="B242" s="66"/>
      <c r="C242" s="68"/>
      <c r="D242" s="68"/>
      <c r="E242" s="68"/>
      <c r="F242" s="79"/>
      <c r="G242" s="67"/>
      <c r="H242" s="67"/>
      <c r="I242" s="79"/>
      <c r="J242" s="79"/>
      <c r="K242" s="70"/>
      <c r="L242" s="70"/>
      <c r="M242" s="70"/>
      <c r="N242" s="83"/>
      <c r="O242" s="70"/>
      <c r="P242" s="70"/>
      <c r="Q242" s="70"/>
      <c r="R242" s="70"/>
      <c r="S242" s="70"/>
    </row>
    <row r="243" spans="1:19" ht="12.75">
      <c r="A243" s="65"/>
      <c r="B243" s="66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</row>
    <row r="244" spans="1:19" ht="12.75" hidden="1">
      <c r="A244" s="65"/>
      <c r="B244" s="66"/>
      <c r="C244" s="68"/>
      <c r="D244" s="68"/>
      <c r="E244" s="68"/>
      <c r="F244" s="79"/>
      <c r="G244" s="67"/>
      <c r="H244" s="67"/>
      <c r="I244" s="70"/>
      <c r="J244" s="70"/>
      <c r="K244" s="70"/>
      <c r="L244" s="70"/>
      <c r="M244" s="70"/>
      <c r="N244" s="83"/>
      <c r="O244" s="70"/>
      <c r="P244" s="70"/>
      <c r="Q244" s="70"/>
      <c r="R244" s="70"/>
      <c r="S244" s="70"/>
    </row>
    <row r="245" spans="1:19" ht="12.75" hidden="1">
      <c r="A245" s="65"/>
      <c r="B245" s="66"/>
      <c r="C245" s="68"/>
      <c r="D245" s="68"/>
      <c r="E245" s="68"/>
      <c r="F245" s="79"/>
      <c r="G245" s="67"/>
      <c r="H245" s="67"/>
      <c r="I245" s="79"/>
      <c r="J245" s="70"/>
      <c r="K245" s="70"/>
      <c r="L245" s="70"/>
      <c r="M245" s="70"/>
      <c r="N245" s="83"/>
      <c r="O245" s="70"/>
      <c r="P245" s="70"/>
      <c r="Q245" s="70"/>
      <c r="R245" s="70"/>
      <c r="S245" s="70"/>
    </row>
    <row r="246" spans="1:19" ht="12.75">
      <c r="A246" s="65"/>
      <c r="B246" s="66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</row>
    <row r="247" spans="1:19" ht="12.75">
      <c r="A247" s="65"/>
      <c r="B247" s="66"/>
      <c r="C247" s="68"/>
      <c r="D247" s="68"/>
      <c r="E247" s="68"/>
      <c r="F247" s="79"/>
      <c r="G247" s="67"/>
      <c r="H247" s="67"/>
      <c r="I247" s="70"/>
      <c r="J247" s="70"/>
      <c r="K247" s="70"/>
      <c r="L247" s="70"/>
      <c r="M247" s="70"/>
      <c r="N247" s="83"/>
      <c r="O247" s="70"/>
      <c r="P247" s="70"/>
      <c r="Q247" s="70"/>
      <c r="R247" s="70"/>
      <c r="S247" s="70"/>
    </row>
    <row r="248" spans="1:19" ht="12.75">
      <c r="A248" s="65"/>
      <c r="B248" s="66"/>
      <c r="C248" s="68"/>
      <c r="D248" s="68"/>
      <c r="E248" s="68"/>
      <c r="F248" s="79"/>
      <c r="G248" s="67"/>
      <c r="H248" s="67"/>
      <c r="I248" s="70"/>
      <c r="J248" s="70"/>
      <c r="K248" s="70"/>
      <c r="L248" s="70"/>
      <c r="M248" s="70"/>
      <c r="N248" s="83"/>
      <c r="O248" s="70"/>
      <c r="P248" s="70"/>
      <c r="Q248" s="70"/>
      <c r="R248" s="70"/>
      <c r="S248" s="70"/>
    </row>
    <row r="249" spans="1:19" ht="12.75">
      <c r="A249" s="65"/>
      <c r="B249" s="66"/>
      <c r="C249" s="68"/>
      <c r="D249" s="68"/>
      <c r="E249" s="68"/>
      <c r="F249" s="79"/>
      <c r="G249" s="67"/>
      <c r="H249" s="67"/>
      <c r="I249" s="70"/>
      <c r="J249" s="70"/>
      <c r="K249" s="70"/>
      <c r="L249" s="70"/>
      <c r="M249" s="70"/>
      <c r="N249" s="83"/>
      <c r="O249" s="70"/>
      <c r="P249" s="70"/>
      <c r="Q249" s="70"/>
      <c r="R249" s="70"/>
      <c r="S249" s="70"/>
    </row>
    <row r="250" spans="1:19" ht="12.75">
      <c r="A250" s="7"/>
      <c r="B250" s="7"/>
      <c r="C250" s="7"/>
      <c r="D250" s="90"/>
      <c r="E250" s="88"/>
      <c r="F250" s="7"/>
      <c r="G250" s="90"/>
      <c r="H250" s="90"/>
      <c r="I250" s="7"/>
      <c r="J250" s="7"/>
      <c r="K250" s="89"/>
      <c r="L250" s="7"/>
      <c r="M250" s="7"/>
      <c r="N250" s="7"/>
      <c r="O250" s="88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</sheetData>
  <mergeCells count="1">
    <mergeCell ref="F1:G1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D14" sqref="D14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8.7109375" style="0" customWidth="1"/>
  </cols>
  <sheetData>
    <row r="2" spans="1:9" ht="12.75">
      <c r="A2" s="8">
        <v>1999</v>
      </c>
      <c r="B2" s="8" t="s">
        <v>14</v>
      </c>
      <c r="C2" s="8" t="s">
        <v>18</v>
      </c>
      <c r="D2" s="8" t="s">
        <v>94</v>
      </c>
      <c r="E2" s="8"/>
      <c r="F2" s="9"/>
      <c r="G2" s="9"/>
      <c r="H2" s="10"/>
      <c r="I2" s="10"/>
    </row>
    <row r="3" spans="1:9" ht="12.75">
      <c r="A3" s="10"/>
      <c r="B3" s="10" t="s">
        <v>91</v>
      </c>
      <c r="C3" s="10" t="s">
        <v>90</v>
      </c>
      <c r="D3" s="10" t="s">
        <v>89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92</v>
      </c>
      <c r="D4" s="10" t="s">
        <v>93</v>
      </c>
      <c r="E4" s="10"/>
      <c r="F4" s="10"/>
      <c r="G4" s="10"/>
      <c r="H4" s="10"/>
      <c r="I4" s="10"/>
    </row>
    <row r="5" spans="1:9" ht="12.75">
      <c r="A5" s="10" t="s">
        <v>88</v>
      </c>
      <c r="B5" s="26">
        <v>2</v>
      </c>
      <c r="C5" s="26">
        <v>38</v>
      </c>
      <c r="D5" s="26">
        <v>13.4</v>
      </c>
      <c r="E5" s="10"/>
      <c r="F5" s="10"/>
      <c r="G5" s="10"/>
      <c r="H5" s="10"/>
      <c r="I5" s="10"/>
    </row>
    <row r="6" spans="1:9" ht="12.75">
      <c r="A6" s="10" t="s">
        <v>0</v>
      </c>
      <c r="B6" s="26">
        <v>1.6</v>
      </c>
      <c r="C6" s="26">
        <v>50</v>
      </c>
      <c r="D6" s="26">
        <v>16.4</v>
      </c>
      <c r="E6" s="2"/>
      <c r="F6" s="2"/>
      <c r="G6" s="2"/>
      <c r="H6" s="10"/>
      <c r="I6" s="10"/>
    </row>
    <row r="7" spans="1:9" ht="12.75">
      <c r="A7" s="10" t="s">
        <v>1</v>
      </c>
      <c r="B7" s="26">
        <v>49</v>
      </c>
      <c r="C7" s="26">
        <v>40</v>
      </c>
      <c r="D7" s="26">
        <v>15.8</v>
      </c>
      <c r="E7" s="2"/>
      <c r="F7" s="2"/>
      <c r="G7" s="2"/>
      <c r="H7" s="10"/>
      <c r="I7" s="10"/>
    </row>
    <row r="8" spans="1:9" ht="12.75">
      <c r="A8" s="10" t="s">
        <v>2</v>
      </c>
      <c r="B8" s="26">
        <v>28</v>
      </c>
      <c r="C8" s="26">
        <v>41.6</v>
      </c>
      <c r="D8" s="26">
        <v>158</v>
      </c>
      <c r="E8" s="4"/>
      <c r="F8" s="4"/>
      <c r="G8" s="4"/>
      <c r="H8" s="10"/>
      <c r="I8" s="10"/>
    </row>
    <row r="9" spans="1:9" ht="12.75">
      <c r="A9" s="10" t="s">
        <v>3</v>
      </c>
      <c r="B9" s="26">
        <v>160</v>
      </c>
      <c r="C9" s="26">
        <v>130</v>
      </c>
      <c r="D9" s="26">
        <v>412</v>
      </c>
      <c r="E9" s="4"/>
      <c r="F9" s="4"/>
      <c r="G9" s="4"/>
      <c r="H9" s="10"/>
      <c r="I9" s="10"/>
    </row>
    <row r="10" spans="1:9" ht="12.75">
      <c r="A10" s="10" t="s">
        <v>4</v>
      </c>
      <c r="B10" s="26">
        <v>500</v>
      </c>
      <c r="C10" s="26">
        <v>802</v>
      </c>
      <c r="D10" s="26">
        <v>125</v>
      </c>
      <c r="E10" s="4"/>
      <c r="F10" s="4"/>
      <c r="G10" s="4"/>
      <c r="H10" s="10"/>
      <c r="I10" s="10"/>
    </row>
    <row r="11" spans="1:9" ht="12.75">
      <c r="A11" s="10" t="s">
        <v>5</v>
      </c>
      <c r="B11" s="26">
        <v>460</v>
      </c>
      <c r="C11" s="26">
        <v>485</v>
      </c>
      <c r="D11" s="26">
        <v>37</v>
      </c>
      <c r="E11" s="4"/>
      <c r="F11" s="4"/>
      <c r="G11" s="4"/>
      <c r="H11" s="10"/>
      <c r="I11" s="10"/>
    </row>
    <row r="12" spans="1:9" ht="12.75">
      <c r="A12" s="10" t="s">
        <v>6</v>
      </c>
      <c r="B12" s="26">
        <v>490</v>
      </c>
      <c r="C12" s="26">
        <v>487.5</v>
      </c>
      <c r="D12" s="26">
        <v>53.4</v>
      </c>
      <c r="E12" s="4"/>
      <c r="F12" s="4"/>
      <c r="G12" s="4"/>
      <c r="H12" s="10"/>
      <c r="I12" s="10"/>
    </row>
    <row r="13" spans="1:10" ht="12.75">
      <c r="A13" s="10" t="s">
        <v>7</v>
      </c>
      <c r="B13" s="26">
        <v>42</v>
      </c>
      <c r="C13" s="26">
        <v>67.1</v>
      </c>
      <c r="D13" s="26">
        <v>12.6</v>
      </c>
      <c r="E13" s="171" t="s">
        <v>103</v>
      </c>
      <c r="F13" s="171"/>
      <c r="G13" s="171"/>
      <c r="H13" s="171"/>
      <c r="I13" s="171"/>
      <c r="J13" s="171"/>
    </row>
    <row r="14" spans="1:9" ht="12.75">
      <c r="A14" s="10" t="s">
        <v>8</v>
      </c>
      <c r="B14" s="26">
        <v>7.8</v>
      </c>
      <c r="C14" s="26">
        <v>32.4</v>
      </c>
      <c r="D14" s="26">
        <v>3.9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6">
        <v>54</v>
      </c>
      <c r="C15" s="26">
        <v>33</v>
      </c>
      <c r="D15" s="26">
        <v>10.6</v>
      </c>
      <c r="E15" s="173">
        <v>1999</v>
      </c>
      <c r="F15" s="175" t="s">
        <v>97</v>
      </c>
      <c r="G15" s="175" t="s">
        <v>98</v>
      </c>
      <c r="H15" s="175" t="s">
        <v>99</v>
      </c>
      <c r="I15" s="172" t="s">
        <v>101</v>
      </c>
      <c r="J15" s="176" t="s">
        <v>102</v>
      </c>
    </row>
    <row r="16" spans="1:10" ht="12.75">
      <c r="A16" s="10" t="s">
        <v>10</v>
      </c>
      <c r="B16" s="26">
        <v>39</v>
      </c>
      <c r="C16" s="26">
        <v>56.4</v>
      </c>
      <c r="D16" s="26">
        <v>15</v>
      </c>
      <c r="E16" s="173"/>
      <c r="F16" s="175"/>
      <c r="G16" s="175"/>
      <c r="H16" s="175"/>
      <c r="I16" s="172"/>
      <c r="J16" s="176"/>
    </row>
    <row r="17" spans="1:10" ht="12.75">
      <c r="A17" s="10"/>
      <c r="B17" s="9" t="s">
        <v>95</v>
      </c>
      <c r="C17" s="9" t="s">
        <v>95</v>
      </c>
      <c r="D17" s="9" t="s">
        <v>95</v>
      </c>
      <c r="E17" s="173"/>
      <c r="F17" s="174" t="s">
        <v>96</v>
      </c>
      <c r="G17" s="174"/>
      <c r="H17" s="174"/>
      <c r="I17" s="174"/>
      <c r="J17" s="174"/>
    </row>
    <row r="18" spans="1:10" ht="12.75">
      <c r="A18" s="10" t="s">
        <v>88</v>
      </c>
      <c r="B18" s="26">
        <f aca="true" t="shared" si="0" ref="B18:D29">+B5*1.983</f>
        <v>3.966</v>
      </c>
      <c r="C18" s="26">
        <f t="shared" si="0"/>
        <v>75.354</v>
      </c>
      <c r="D18" s="26">
        <f t="shared" si="0"/>
        <v>26.572200000000002</v>
      </c>
      <c r="E18" s="30" t="s">
        <v>88</v>
      </c>
      <c r="F18" s="28">
        <f>+C18*31</f>
        <v>2335.974</v>
      </c>
      <c r="G18" s="28">
        <f>+D18*31</f>
        <v>823.7382000000001</v>
      </c>
      <c r="H18" s="28">
        <f aca="true" t="shared" si="1" ref="H18:H29">SUM(F18:G18)</f>
        <v>3159.7122000000004</v>
      </c>
      <c r="I18" s="29">
        <f>+B18*28</f>
        <v>111.048</v>
      </c>
      <c r="J18" s="33">
        <f>H18-I18</f>
        <v>3048.6642</v>
      </c>
    </row>
    <row r="19" spans="1:10" ht="12.75">
      <c r="A19" s="10" t="s">
        <v>0</v>
      </c>
      <c r="B19" s="26">
        <f t="shared" si="0"/>
        <v>3.1728000000000005</v>
      </c>
      <c r="C19" s="26">
        <f t="shared" si="0"/>
        <v>99.15</v>
      </c>
      <c r="D19" s="26">
        <f t="shared" si="0"/>
        <v>32.5212</v>
      </c>
      <c r="E19" s="30" t="s">
        <v>0</v>
      </c>
      <c r="F19" s="28">
        <f>+C19*28</f>
        <v>2776.2000000000003</v>
      </c>
      <c r="G19" s="28">
        <f>+D19*28</f>
        <v>910.5936</v>
      </c>
      <c r="H19" s="28">
        <f t="shared" si="1"/>
        <v>3686.7936000000004</v>
      </c>
      <c r="I19" s="29">
        <f>+B19*28</f>
        <v>88.83840000000001</v>
      </c>
      <c r="J19" s="33">
        <f aca="true" t="shared" si="2" ref="J19:J30">H19-I19</f>
        <v>3597.9552000000003</v>
      </c>
    </row>
    <row r="20" spans="1:10" ht="12.75">
      <c r="A20" s="10" t="s">
        <v>1</v>
      </c>
      <c r="B20" s="26">
        <f t="shared" si="0"/>
        <v>97.167</v>
      </c>
      <c r="C20" s="26">
        <f t="shared" si="0"/>
        <v>79.32000000000001</v>
      </c>
      <c r="D20" s="26">
        <f t="shared" si="0"/>
        <v>31.331400000000002</v>
      </c>
      <c r="E20" s="30" t="s">
        <v>1</v>
      </c>
      <c r="F20" s="28">
        <f>+C20*31</f>
        <v>2458.92</v>
      </c>
      <c r="G20" s="28">
        <f>+D20*31</f>
        <v>971.2734</v>
      </c>
      <c r="H20" s="28">
        <f t="shared" si="1"/>
        <v>3430.1934</v>
      </c>
      <c r="I20" s="29">
        <f>+B20*31</f>
        <v>3012.177</v>
      </c>
      <c r="J20" s="33">
        <f t="shared" si="2"/>
        <v>418.0164</v>
      </c>
    </row>
    <row r="21" spans="1:10" ht="12.75">
      <c r="A21" s="10" t="s">
        <v>2</v>
      </c>
      <c r="B21" s="26">
        <f t="shared" si="0"/>
        <v>55.524</v>
      </c>
      <c r="C21" s="26">
        <f t="shared" si="0"/>
        <v>82.4928</v>
      </c>
      <c r="D21" s="26">
        <f t="shared" si="0"/>
        <v>313.314</v>
      </c>
      <c r="E21" s="30" t="s">
        <v>2</v>
      </c>
      <c r="F21" s="28">
        <f>+C21*30</f>
        <v>2474.784</v>
      </c>
      <c r="G21" s="28">
        <f>+D21*30</f>
        <v>9399.42</v>
      </c>
      <c r="H21" s="28">
        <f t="shared" si="1"/>
        <v>11874.204</v>
      </c>
      <c r="I21" s="29">
        <f>+B21*30</f>
        <v>1665.72</v>
      </c>
      <c r="J21" s="33">
        <f t="shared" si="2"/>
        <v>10208.484</v>
      </c>
    </row>
    <row r="22" spans="1:10" ht="12.75">
      <c r="A22" s="10" t="s">
        <v>3</v>
      </c>
      <c r="B22" s="26">
        <f t="shared" si="0"/>
        <v>317.28000000000003</v>
      </c>
      <c r="C22" s="26">
        <f t="shared" si="0"/>
        <v>257.79</v>
      </c>
      <c r="D22" s="26">
        <f t="shared" si="0"/>
        <v>816.9960000000001</v>
      </c>
      <c r="E22" s="30" t="s">
        <v>3</v>
      </c>
      <c r="F22" s="28">
        <f>+C22*31</f>
        <v>7991.490000000001</v>
      </c>
      <c r="G22" s="28">
        <f>+D22*31</f>
        <v>25326.876000000004</v>
      </c>
      <c r="H22" s="28">
        <f t="shared" si="1"/>
        <v>33318.366</v>
      </c>
      <c r="I22" s="29">
        <f>+B22*31</f>
        <v>9835.68</v>
      </c>
      <c r="J22" s="33">
        <f t="shared" si="2"/>
        <v>23482.686</v>
      </c>
    </row>
    <row r="23" spans="1:10" ht="12.75">
      <c r="A23" s="10" t="s">
        <v>4</v>
      </c>
      <c r="B23" s="26">
        <f t="shared" si="0"/>
        <v>991.5</v>
      </c>
      <c r="C23" s="26">
        <f t="shared" si="0"/>
        <v>1590.366</v>
      </c>
      <c r="D23" s="26">
        <f t="shared" si="0"/>
        <v>247.875</v>
      </c>
      <c r="E23" s="30" t="s">
        <v>4</v>
      </c>
      <c r="F23" s="28">
        <f>+C23*30</f>
        <v>47710.979999999996</v>
      </c>
      <c r="G23" s="28">
        <f>+D23*30</f>
        <v>7436.25</v>
      </c>
      <c r="H23" s="28">
        <f t="shared" si="1"/>
        <v>55147.229999999996</v>
      </c>
      <c r="I23" s="29">
        <f>+B23*30</f>
        <v>29745</v>
      </c>
      <c r="J23" s="33">
        <f t="shared" si="2"/>
        <v>25402.229999999996</v>
      </c>
    </row>
    <row r="24" spans="1:10" ht="12.75">
      <c r="A24" s="10" t="s">
        <v>5</v>
      </c>
      <c r="B24" s="26">
        <f t="shared" si="0"/>
        <v>912.1800000000001</v>
      </c>
      <c r="C24" s="26">
        <f t="shared" si="0"/>
        <v>961.755</v>
      </c>
      <c r="D24" s="26">
        <f t="shared" si="0"/>
        <v>73.37100000000001</v>
      </c>
      <c r="E24" s="30" t="s">
        <v>5</v>
      </c>
      <c r="F24" s="28">
        <f>+C24*31</f>
        <v>29814.405</v>
      </c>
      <c r="G24" s="28">
        <f>+D24*31</f>
        <v>2274.501</v>
      </c>
      <c r="H24" s="28">
        <f t="shared" si="1"/>
        <v>32088.906</v>
      </c>
      <c r="I24" s="29">
        <f>+B24*31</f>
        <v>28277.58</v>
      </c>
      <c r="J24" s="33">
        <f t="shared" si="2"/>
        <v>3811.3259999999973</v>
      </c>
    </row>
    <row r="25" spans="1:10" ht="12.75">
      <c r="A25" s="10" t="s">
        <v>6</v>
      </c>
      <c r="B25" s="26">
        <f t="shared" si="0"/>
        <v>971.6700000000001</v>
      </c>
      <c r="C25" s="26">
        <f t="shared" si="0"/>
        <v>966.7125000000001</v>
      </c>
      <c r="D25" s="26">
        <f t="shared" si="0"/>
        <v>105.8922</v>
      </c>
      <c r="E25" s="30" t="s">
        <v>6</v>
      </c>
      <c r="F25" s="28">
        <f>+C25*31</f>
        <v>29968.0875</v>
      </c>
      <c r="G25" s="28">
        <f>+D25*31</f>
        <v>3282.6582</v>
      </c>
      <c r="H25" s="28">
        <f t="shared" si="1"/>
        <v>33250.7457</v>
      </c>
      <c r="I25" s="29">
        <f>+B25*31</f>
        <v>30121.770000000004</v>
      </c>
      <c r="J25" s="33">
        <f t="shared" si="2"/>
        <v>3128.9756999999954</v>
      </c>
    </row>
    <row r="26" spans="1:10" ht="12.75">
      <c r="A26" s="10" t="s">
        <v>7</v>
      </c>
      <c r="B26" s="26">
        <f t="shared" si="0"/>
        <v>83.286</v>
      </c>
      <c r="C26" s="26">
        <f t="shared" si="0"/>
        <v>133.0593</v>
      </c>
      <c r="D26" s="26">
        <f t="shared" si="0"/>
        <v>24.9858</v>
      </c>
      <c r="E26" s="30" t="s">
        <v>7</v>
      </c>
      <c r="F26" s="28">
        <f>+C26*30</f>
        <v>3991.7790000000005</v>
      </c>
      <c r="G26" s="28">
        <f>+D26*30</f>
        <v>749.5740000000001</v>
      </c>
      <c r="H26" s="28">
        <f t="shared" si="1"/>
        <v>4741.353000000001</v>
      </c>
      <c r="I26" s="29">
        <f>+B26*30</f>
        <v>2498.58</v>
      </c>
      <c r="J26" s="33">
        <f t="shared" si="2"/>
        <v>2242.773000000001</v>
      </c>
    </row>
    <row r="27" spans="1:10" ht="12.75">
      <c r="A27" s="10" t="s">
        <v>8</v>
      </c>
      <c r="B27" s="26">
        <f t="shared" si="0"/>
        <v>15.4674</v>
      </c>
      <c r="C27" s="26">
        <f t="shared" si="0"/>
        <v>64.2492</v>
      </c>
      <c r="D27" s="26">
        <f t="shared" si="0"/>
        <v>7.7337</v>
      </c>
      <c r="E27" s="30" t="s">
        <v>8</v>
      </c>
      <c r="F27" s="28">
        <f>+C27*31</f>
        <v>1991.7252</v>
      </c>
      <c r="G27" s="28">
        <f>+D27*31</f>
        <v>239.7447</v>
      </c>
      <c r="H27" s="28">
        <f t="shared" si="1"/>
        <v>2231.4699</v>
      </c>
      <c r="I27" s="29">
        <f>+B27*31</f>
        <v>479.4894</v>
      </c>
      <c r="J27" s="33">
        <f t="shared" si="2"/>
        <v>1751.9805000000001</v>
      </c>
    </row>
    <row r="28" spans="1:10" ht="12.75">
      <c r="A28" s="10" t="s">
        <v>9</v>
      </c>
      <c r="B28" s="26">
        <f t="shared" si="0"/>
        <v>107.08200000000001</v>
      </c>
      <c r="C28" s="26">
        <f t="shared" si="0"/>
        <v>65.43900000000001</v>
      </c>
      <c r="D28" s="26">
        <f t="shared" si="0"/>
        <v>21.0198</v>
      </c>
      <c r="E28" s="30" t="s">
        <v>9</v>
      </c>
      <c r="F28" s="28">
        <f>+C28*30</f>
        <v>1963.1700000000003</v>
      </c>
      <c r="G28" s="28">
        <f>+D28*30</f>
        <v>630.594</v>
      </c>
      <c r="H28" s="28">
        <f t="shared" si="1"/>
        <v>2593.764</v>
      </c>
      <c r="I28" s="29">
        <f>+B28*30</f>
        <v>3212.46</v>
      </c>
      <c r="J28" s="33">
        <f t="shared" si="2"/>
        <v>-618.6959999999999</v>
      </c>
    </row>
    <row r="29" spans="1:10" ht="12.75">
      <c r="A29" s="10" t="s">
        <v>10</v>
      </c>
      <c r="B29" s="26">
        <f t="shared" si="0"/>
        <v>77.337</v>
      </c>
      <c r="C29" s="26">
        <f t="shared" si="0"/>
        <v>111.8412</v>
      </c>
      <c r="D29" s="26">
        <f t="shared" si="0"/>
        <v>29.745</v>
      </c>
      <c r="E29" s="30" t="s">
        <v>10</v>
      </c>
      <c r="F29" s="28">
        <f>+C29*31</f>
        <v>3467.0772</v>
      </c>
      <c r="G29" s="28">
        <f>+D29*31</f>
        <v>922.095</v>
      </c>
      <c r="H29" s="28">
        <f t="shared" si="1"/>
        <v>4389.1722</v>
      </c>
      <c r="I29" s="29">
        <f>+B29*31</f>
        <v>2397.447</v>
      </c>
      <c r="J29" s="33">
        <f t="shared" si="2"/>
        <v>1991.7251999999999</v>
      </c>
    </row>
    <row r="30" spans="1:10" ht="12.75">
      <c r="A30" s="10"/>
      <c r="B30" s="27"/>
      <c r="C30" s="27"/>
      <c r="D30" s="27"/>
      <c r="E30" s="32" t="s">
        <v>100</v>
      </c>
      <c r="F30" s="29">
        <f>SUM(F18:F29)</f>
        <v>136944.5919</v>
      </c>
      <c r="G30" s="29">
        <f>SUM(G18:G29)</f>
        <v>52967.31810000001</v>
      </c>
      <c r="H30" s="29">
        <f>SUM(H18:H29)</f>
        <v>189911.90999999997</v>
      </c>
      <c r="I30" s="29">
        <f>SUM(I18:I29)</f>
        <v>111445.78980000001</v>
      </c>
      <c r="J30" s="33">
        <f t="shared" si="2"/>
        <v>78466.12019999996</v>
      </c>
    </row>
    <row r="31" spans="1:9" ht="12.75">
      <c r="A31" s="10"/>
      <c r="B31" s="4"/>
      <c r="C31" s="4"/>
      <c r="D31" s="4"/>
      <c r="E31" s="31" t="s">
        <v>104</v>
      </c>
      <c r="F31" s="34">
        <f>F30/H30</f>
        <v>0.72109533256761</v>
      </c>
      <c r="G31" s="34">
        <f>G30/H30</f>
        <v>0.2789046674323902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45">
      <selection activeCell="J64" sqref="J64"/>
    </sheetView>
  </sheetViews>
  <sheetFormatPr defaultColWidth="9.140625" defaultRowHeight="12.75"/>
  <sheetData>
    <row r="1" spans="1:2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 t="s">
        <v>81</v>
      </c>
      <c r="M1" s="19"/>
      <c r="N1" s="19"/>
      <c r="O1" s="19"/>
      <c r="P1" s="19"/>
      <c r="Q1" s="19"/>
      <c r="R1" s="19"/>
      <c r="S1" s="19"/>
      <c r="T1" s="19"/>
      <c r="U1" s="19"/>
      <c r="V1" s="18"/>
      <c r="W1" s="18"/>
      <c r="X1" s="18"/>
    </row>
    <row r="2" spans="1:24" ht="12.75">
      <c r="A2" s="19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>
        <v>1988</v>
      </c>
      <c r="N2" s="19">
        <v>1991</v>
      </c>
      <c r="O2" s="19">
        <v>1992</v>
      </c>
      <c r="P2" s="19">
        <v>1993</v>
      </c>
      <c r="Q2" s="19">
        <v>1994</v>
      </c>
      <c r="R2" s="19">
        <v>1995</v>
      </c>
      <c r="S2" s="19">
        <v>1996</v>
      </c>
      <c r="T2" s="19">
        <v>1997</v>
      </c>
      <c r="U2" s="19">
        <v>1998</v>
      </c>
      <c r="V2" s="18">
        <v>1999</v>
      </c>
      <c r="W2" s="19" t="s">
        <v>79</v>
      </c>
      <c r="X2" s="19" t="s">
        <v>78</v>
      </c>
    </row>
    <row r="3" spans="1:24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 t="s">
        <v>61</v>
      </c>
      <c r="M3" s="21">
        <f aca="true" t="shared" si="0" ref="M3:V3">LN(B5)</f>
        <v>2.011086222015564</v>
      </c>
      <c r="N3" s="21">
        <f t="shared" si="0"/>
        <v>3.054944133185837</v>
      </c>
      <c r="O3" s="21">
        <f t="shared" si="0"/>
        <v>2.944965156500338</v>
      </c>
      <c r="P3" s="21">
        <f t="shared" si="0"/>
        <v>2.186051276738094</v>
      </c>
      <c r="Q3" s="21">
        <f t="shared" si="0"/>
        <v>3.0170044088295307</v>
      </c>
      <c r="R3" s="21">
        <f t="shared" si="0"/>
        <v>1.6272778305624314</v>
      </c>
      <c r="S3" s="21">
        <f t="shared" si="0"/>
        <v>1.3609765531356006</v>
      </c>
      <c r="T3" s="21">
        <f t="shared" si="0"/>
        <v>0.8329091229351039</v>
      </c>
      <c r="U3" s="21">
        <f t="shared" si="0"/>
        <v>1.3887912413184778</v>
      </c>
      <c r="V3" s="21">
        <f t="shared" si="0"/>
        <v>1.4586150226995167</v>
      </c>
      <c r="W3" s="19" t="s">
        <v>77</v>
      </c>
      <c r="X3" s="19" t="s">
        <v>76</v>
      </c>
    </row>
    <row r="4" spans="1:24" ht="12.75">
      <c r="A4" s="19" t="s">
        <v>37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/>
      <c r="M4" s="21">
        <f aca="true" t="shared" si="1" ref="M4:V4">20+(14.42*M3)</f>
        <v>48.99986332146443</v>
      </c>
      <c r="N4" s="21">
        <f t="shared" si="1"/>
        <v>64.05229440053976</v>
      </c>
      <c r="O4" s="21">
        <f t="shared" si="1"/>
        <v>62.46639755673487</v>
      </c>
      <c r="P4" s="21">
        <f t="shared" si="1"/>
        <v>51.52285941056331</v>
      </c>
      <c r="Q4" s="21">
        <f t="shared" si="1"/>
        <v>63.50520357532183</v>
      </c>
      <c r="R4" s="21">
        <f t="shared" si="1"/>
        <v>43.46534631671026</v>
      </c>
      <c r="S4" s="21">
        <f t="shared" si="1"/>
        <v>39.62528189621536</v>
      </c>
      <c r="T4" s="21">
        <f t="shared" si="1"/>
        <v>32.0105495527242</v>
      </c>
      <c r="U4" s="21">
        <f t="shared" si="1"/>
        <v>40.02636969981245</v>
      </c>
      <c r="V4" s="21">
        <f t="shared" si="1"/>
        <v>41.033228627327034</v>
      </c>
      <c r="W4" s="19" t="s">
        <v>74</v>
      </c>
      <c r="X4" s="19" t="s">
        <v>73</v>
      </c>
    </row>
    <row r="5" spans="1:24" ht="12.75">
      <c r="A5" s="19" t="s">
        <v>68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/>
      <c r="M5" s="21"/>
      <c r="N5" s="21"/>
      <c r="O5" s="21"/>
      <c r="P5" s="21"/>
      <c r="Q5" s="21"/>
      <c r="R5" s="21"/>
      <c r="S5" s="19"/>
      <c r="T5" s="19"/>
      <c r="U5" s="19"/>
      <c r="V5" s="19"/>
      <c r="W5" s="19" t="s">
        <v>72</v>
      </c>
      <c r="X5" s="19" t="s">
        <v>71</v>
      </c>
    </row>
    <row r="6" spans="1:24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 t="s">
        <v>60</v>
      </c>
      <c r="M6" s="21">
        <f aca="true" t="shared" si="2" ref="M6:V6">LN(B4)</f>
        <v>5.111987788356544</v>
      </c>
      <c r="N6" s="21">
        <f t="shared" si="2"/>
        <v>5.215804944973573</v>
      </c>
      <c r="O6" s="21">
        <f t="shared" si="2"/>
        <v>5.089199986966919</v>
      </c>
      <c r="P6" s="21">
        <f t="shared" si="2"/>
        <v>5.1234281215713775</v>
      </c>
      <c r="Q6" s="21">
        <f t="shared" si="2"/>
        <v>4.466252886801422</v>
      </c>
      <c r="R6" s="21">
        <f t="shared" si="2"/>
        <v>3.711374531941307</v>
      </c>
      <c r="S6" s="21">
        <f t="shared" si="2"/>
        <v>3.5263605246161616</v>
      </c>
      <c r="T6" s="21">
        <f t="shared" si="2"/>
        <v>2.5649493574615367</v>
      </c>
      <c r="U6" s="21">
        <f t="shared" si="2"/>
        <v>2.509599262378372</v>
      </c>
      <c r="V6" s="21">
        <f t="shared" si="2"/>
        <v>2.995732273553991</v>
      </c>
      <c r="W6" s="19" t="s">
        <v>70</v>
      </c>
      <c r="X6" s="19" t="s">
        <v>69</v>
      </c>
    </row>
    <row r="7" spans="1:24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21">
        <f aca="true" t="shared" si="3" ref="M7:V7">(20.02*M6)</f>
        <v>102.341995522898</v>
      </c>
      <c r="N7" s="21">
        <f t="shared" si="3"/>
        <v>104.42041499837092</v>
      </c>
      <c r="O7" s="21">
        <f t="shared" si="3"/>
        <v>101.88578373907771</v>
      </c>
      <c r="P7" s="21">
        <f t="shared" si="3"/>
        <v>102.57103099385897</v>
      </c>
      <c r="Q7" s="21">
        <f t="shared" si="3"/>
        <v>89.41438279376447</v>
      </c>
      <c r="R7" s="21">
        <f t="shared" si="3"/>
        <v>74.30171812946497</v>
      </c>
      <c r="S7" s="21">
        <f t="shared" si="3"/>
        <v>70.59773770281555</v>
      </c>
      <c r="T7" s="21">
        <f t="shared" si="3"/>
        <v>51.350286136379964</v>
      </c>
      <c r="U7" s="21">
        <f t="shared" si="3"/>
        <v>50.24217723281501</v>
      </c>
      <c r="V7" s="21">
        <f t="shared" si="3"/>
        <v>59.9745601165509</v>
      </c>
      <c r="W7" s="19" t="s">
        <v>67</v>
      </c>
      <c r="X7" s="19" t="s">
        <v>66</v>
      </c>
    </row>
    <row r="8" spans="1:24" ht="12.75">
      <c r="A8" s="19" t="s">
        <v>75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1"/>
      <c r="O8" s="21"/>
      <c r="P8" s="21"/>
      <c r="Q8" s="21"/>
      <c r="R8" s="21"/>
      <c r="S8" s="19"/>
      <c r="T8" s="18"/>
      <c r="U8" s="18"/>
      <c r="V8" s="18"/>
      <c r="X8" s="18"/>
    </row>
    <row r="9" spans="1:24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 t="s">
        <v>59</v>
      </c>
      <c r="M9" s="21">
        <f aca="true" t="shared" si="4" ref="M9:V9">LN(1/B6-0.08)</f>
        <v>-0.6247698831152083</v>
      </c>
      <c r="N9" s="21">
        <f t="shared" si="4"/>
        <v>-0.9654035287290765</v>
      </c>
      <c r="O9" s="21">
        <f t="shared" si="4"/>
        <v>-0.9258601828903059</v>
      </c>
      <c r="P9" s="21">
        <f t="shared" si="4"/>
        <v>-1.3015390482569433</v>
      </c>
      <c r="Q9" s="21">
        <f t="shared" si="4"/>
        <v>-0.7367663797012618</v>
      </c>
      <c r="R9" s="21">
        <f t="shared" si="4"/>
        <v>-0.9485822365106786</v>
      </c>
      <c r="S9" s="21">
        <f t="shared" si="4"/>
        <v>-2.0733694790422286</v>
      </c>
      <c r="T9" s="21">
        <f t="shared" si="4"/>
        <v>-1.4164210665233978</v>
      </c>
      <c r="U9" s="21">
        <f t="shared" si="4"/>
        <v>-1.2032126370525384</v>
      </c>
      <c r="V9" s="21">
        <f t="shared" si="4"/>
        <v>-0.9258601828903059</v>
      </c>
      <c r="X9" s="18"/>
    </row>
    <row r="10" spans="1:24" ht="12.75">
      <c r="A10" s="19" t="s">
        <v>37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/>
      <c r="M10" s="21">
        <f aca="true" t="shared" si="5" ref="M10:V10">75.3+(19.46*M9)</f>
        <v>63.14197807457804</v>
      </c>
      <c r="N10" s="21">
        <f t="shared" si="5"/>
        <v>56.51324733093217</v>
      </c>
      <c r="O10" s="21">
        <f t="shared" si="5"/>
        <v>57.282760840954644</v>
      </c>
      <c r="P10" s="21">
        <f t="shared" si="5"/>
        <v>49.972050120919874</v>
      </c>
      <c r="Q10" s="21">
        <f t="shared" si="5"/>
        <v>60.96252625101344</v>
      </c>
      <c r="R10" s="21">
        <f t="shared" si="5"/>
        <v>56.840589677502194</v>
      </c>
      <c r="S10" s="21">
        <f t="shared" si="5"/>
        <v>34.952229937838226</v>
      </c>
      <c r="T10" s="21">
        <f t="shared" si="5"/>
        <v>47.73644604545467</v>
      </c>
      <c r="U10" s="21">
        <f t="shared" si="5"/>
        <v>51.885482082957594</v>
      </c>
      <c r="V10" s="21">
        <f t="shared" si="5"/>
        <v>57.282760840954644</v>
      </c>
      <c r="X10" s="18"/>
    </row>
    <row r="11" spans="1:24" ht="12.75">
      <c r="A11" s="19" t="s">
        <v>68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/>
      <c r="M11" s="19"/>
      <c r="N11" s="19"/>
      <c r="O11" s="19"/>
      <c r="P11" s="19"/>
      <c r="Q11" s="19"/>
      <c r="R11" s="19"/>
      <c r="S11" s="19"/>
      <c r="T11" s="18"/>
      <c r="U11" s="18"/>
      <c r="V11" s="18"/>
      <c r="X11" s="18"/>
    </row>
    <row r="12" spans="1:24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 t="s">
        <v>58</v>
      </c>
      <c r="M12" s="22">
        <f aca="true" t="shared" si="6" ref="M12:U12">(M10+M7+M4)/3</f>
        <v>71.4946123063135</v>
      </c>
      <c r="N12" s="22">
        <f t="shared" si="6"/>
        <v>74.99531890994761</v>
      </c>
      <c r="O12" s="22">
        <f t="shared" si="6"/>
        <v>73.87831404558908</v>
      </c>
      <c r="P12" s="22">
        <f t="shared" si="6"/>
        <v>68.02198017511405</v>
      </c>
      <c r="Q12" s="22">
        <f t="shared" si="6"/>
        <v>71.29403754003324</v>
      </c>
      <c r="R12" s="22">
        <f t="shared" si="6"/>
        <v>58.202551374559135</v>
      </c>
      <c r="S12" s="22">
        <f t="shared" si="6"/>
        <v>48.391749845623046</v>
      </c>
      <c r="T12" s="22">
        <f t="shared" si="6"/>
        <v>43.69909391151961</v>
      </c>
      <c r="U12" s="22">
        <f t="shared" si="6"/>
        <v>47.38467633852835</v>
      </c>
      <c r="V12" s="22">
        <f>(V10+V7+V4)/3</f>
        <v>52.76351652827753</v>
      </c>
      <c r="W12" s="18"/>
      <c r="X12" s="18"/>
    </row>
    <row r="13" spans="1:24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 t="s">
        <v>65</v>
      </c>
      <c r="O13" s="19" t="s">
        <v>65</v>
      </c>
      <c r="P13" s="19" t="s">
        <v>65</v>
      </c>
      <c r="Q13" s="19" t="s">
        <v>65</v>
      </c>
      <c r="R13" s="19" t="s">
        <v>64</v>
      </c>
      <c r="S13" s="19" t="s">
        <v>55</v>
      </c>
      <c r="T13" s="19" t="s">
        <v>29</v>
      </c>
      <c r="U13" s="19" t="s">
        <v>55</v>
      </c>
      <c r="V13" s="18" t="s">
        <v>83</v>
      </c>
      <c r="W13" s="18"/>
      <c r="X13" s="18"/>
    </row>
    <row r="14" spans="1:24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21"/>
      <c r="O14" s="21"/>
      <c r="P14" s="21"/>
      <c r="Q14" s="21"/>
      <c r="R14" s="21"/>
      <c r="S14" s="19"/>
      <c r="T14" s="19"/>
      <c r="U14" s="19"/>
      <c r="V14" s="18"/>
      <c r="W14" s="18"/>
      <c r="X14" s="18"/>
    </row>
    <row r="15" spans="1:24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 t="s">
        <v>63</v>
      </c>
      <c r="M15" s="19"/>
      <c r="N15" s="21"/>
      <c r="O15" s="21"/>
      <c r="P15" s="21"/>
      <c r="Q15" s="21"/>
      <c r="R15" s="21"/>
      <c r="S15" s="19"/>
      <c r="T15" s="19"/>
      <c r="U15" s="19"/>
      <c r="V15" s="18"/>
      <c r="W15" s="18"/>
      <c r="X15" s="18"/>
    </row>
    <row r="16" spans="1:24" ht="12.75">
      <c r="A16" s="19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1988</v>
      </c>
      <c r="N16" s="23">
        <v>1991</v>
      </c>
      <c r="O16" s="23">
        <v>1992</v>
      </c>
      <c r="P16" s="23">
        <v>1993</v>
      </c>
      <c r="Q16" s="23">
        <v>1994</v>
      </c>
      <c r="R16" s="23">
        <v>1995</v>
      </c>
      <c r="S16" s="19">
        <v>1996</v>
      </c>
      <c r="T16" s="19">
        <v>1997</v>
      </c>
      <c r="U16" s="19">
        <v>1998</v>
      </c>
      <c r="V16" s="18">
        <v>1999</v>
      </c>
      <c r="W16" s="18"/>
      <c r="X16" s="18"/>
    </row>
    <row r="17" spans="1:24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 t="s">
        <v>61</v>
      </c>
      <c r="M17" s="19"/>
      <c r="N17" s="21">
        <f aca="true" t="shared" si="7" ref="N17:V17">LN(C11)</f>
        <v>1.3837912309017721</v>
      </c>
      <c r="O17" s="21">
        <f t="shared" si="7"/>
        <v>2.4664031782234406</v>
      </c>
      <c r="P17" s="21">
        <f t="shared" si="7"/>
        <v>2.667228206581955</v>
      </c>
      <c r="Q17" s="21">
        <f t="shared" si="7"/>
        <v>3.2733640101522705</v>
      </c>
      <c r="R17" s="21">
        <f t="shared" si="7"/>
        <v>2.3942522815198695</v>
      </c>
      <c r="S17" s="21">
        <f t="shared" si="7"/>
        <v>1.1969481893889715</v>
      </c>
      <c r="T17" s="21">
        <f t="shared" si="7"/>
        <v>0.8424288832756998</v>
      </c>
      <c r="U17" s="21">
        <f t="shared" si="7"/>
        <v>1.33500106673234</v>
      </c>
      <c r="V17" s="21">
        <f t="shared" si="7"/>
        <v>1.4350845252893227</v>
      </c>
      <c r="W17" s="18"/>
      <c r="X17" s="18"/>
    </row>
    <row r="18" spans="1:24" ht="12.75">
      <c r="A18" s="19" t="s">
        <v>54</v>
      </c>
      <c r="B18" s="21">
        <f aca="true" t="shared" si="8" ref="B18:K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19"/>
      <c r="M18" s="19"/>
      <c r="N18" s="21">
        <f aca="true" t="shared" si="9" ref="N18:V18">20+(14.42*N17)</f>
        <v>39.95426954960355</v>
      </c>
      <c r="O18" s="21">
        <f t="shared" si="9"/>
        <v>55.565533829982016</v>
      </c>
      <c r="P18" s="21">
        <f t="shared" si="9"/>
        <v>58.46143073891179</v>
      </c>
      <c r="Q18" s="21">
        <f t="shared" si="9"/>
        <v>67.20190902639574</v>
      </c>
      <c r="R18" s="21">
        <f t="shared" si="9"/>
        <v>54.525117899516516</v>
      </c>
      <c r="S18" s="21">
        <f t="shared" si="9"/>
        <v>37.25999289098897</v>
      </c>
      <c r="T18" s="21">
        <f t="shared" si="9"/>
        <v>32.14782449683559</v>
      </c>
      <c r="U18" s="21">
        <f t="shared" si="9"/>
        <v>39.25071538228035</v>
      </c>
      <c r="V18" s="21">
        <f t="shared" si="9"/>
        <v>40.693918854672035</v>
      </c>
      <c r="W18" s="18"/>
      <c r="X18" s="18"/>
    </row>
    <row r="19" spans="1:24" ht="12.75">
      <c r="A19" s="19"/>
      <c r="B19" s="21">
        <f aca="true" t="shared" si="10" ref="B19:K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19"/>
      <c r="M19" s="19"/>
      <c r="N19" s="21"/>
      <c r="O19" s="21"/>
      <c r="P19" s="21"/>
      <c r="Q19" s="21"/>
      <c r="R19" s="21"/>
      <c r="S19" s="21"/>
      <c r="T19" s="21"/>
      <c r="U19" s="21"/>
      <c r="V19" s="21"/>
      <c r="W19" s="18"/>
      <c r="X19" s="18"/>
    </row>
    <row r="20" spans="1:2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60</v>
      </c>
      <c r="M20" s="19"/>
      <c r="N20" s="21">
        <f aca="true" t="shared" si="11" ref="N20:V20">LN(C10)</f>
        <v>5.256609563148246</v>
      </c>
      <c r="O20" s="21">
        <f t="shared" si="11"/>
        <v>5.2021368080740675</v>
      </c>
      <c r="P20" s="21">
        <f t="shared" si="11"/>
        <v>5.332235584751498</v>
      </c>
      <c r="Q20" s="21">
        <f t="shared" si="11"/>
        <v>4.524719061590464</v>
      </c>
      <c r="R20" s="21">
        <f t="shared" si="11"/>
        <v>4.067315889834181</v>
      </c>
      <c r="S20" s="21">
        <f t="shared" si="11"/>
        <v>3.6282548322975017</v>
      </c>
      <c r="T20" s="21">
        <f t="shared" si="11"/>
        <v>2.6667320418459206</v>
      </c>
      <c r="U20" s="21">
        <f t="shared" si="11"/>
        <v>2.747270914255491</v>
      </c>
      <c r="V20" s="21">
        <f t="shared" si="11"/>
        <v>3.299533727885655</v>
      </c>
      <c r="W20" s="18"/>
      <c r="X20" s="18"/>
    </row>
    <row r="21" spans="1:24" ht="12.75">
      <c r="A21" s="19" t="s">
        <v>53</v>
      </c>
      <c r="B21" s="21">
        <f aca="true" t="shared" si="12" ref="B21:K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19"/>
      <c r="M21" s="19"/>
      <c r="N21" s="21">
        <f aca="true" t="shared" si="13" ref="N21:V21">(20.02*N20)</f>
        <v>105.23732345422789</v>
      </c>
      <c r="O21" s="21">
        <f t="shared" si="13"/>
        <v>104.14677889764283</v>
      </c>
      <c r="P21" s="21">
        <f t="shared" si="13"/>
        <v>106.75135640672498</v>
      </c>
      <c r="Q21" s="21">
        <f t="shared" si="13"/>
        <v>90.58487561304109</v>
      </c>
      <c r="R21" s="21">
        <f t="shared" si="13"/>
        <v>81.42766411448031</v>
      </c>
      <c r="S21" s="21">
        <f t="shared" si="13"/>
        <v>72.63766174259598</v>
      </c>
      <c r="T21" s="21">
        <f t="shared" si="13"/>
        <v>53.387975477755326</v>
      </c>
      <c r="U21" s="21">
        <f t="shared" si="13"/>
        <v>55.00036370339493</v>
      </c>
      <c r="V21" s="21">
        <f t="shared" si="13"/>
        <v>66.05666523227082</v>
      </c>
      <c r="W21" s="18"/>
      <c r="X21" s="18"/>
    </row>
    <row r="22" spans="1:24" ht="12.75">
      <c r="A22" s="19"/>
      <c r="B22" s="21">
        <f aca="true" t="shared" si="14" ref="B22:K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19"/>
      <c r="M22" s="19"/>
      <c r="N22" s="21"/>
      <c r="O22" s="21"/>
      <c r="P22" s="21"/>
      <c r="Q22" s="21"/>
      <c r="R22" s="21"/>
      <c r="S22" s="21"/>
      <c r="T22" s="21"/>
      <c r="U22" s="18"/>
      <c r="V22" s="18"/>
      <c r="W22" s="18"/>
      <c r="X22" s="18"/>
    </row>
    <row r="23" spans="1:2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 t="s">
        <v>59</v>
      </c>
      <c r="M23" s="19"/>
      <c r="N23" s="21">
        <f aca="true" t="shared" si="15" ref="N23:V23">LN(1/C12-0.08)</f>
        <v>-0.8852504124795058</v>
      </c>
      <c r="O23" s="21">
        <f t="shared" si="15"/>
        <v>-0.9372638552544341</v>
      </c>
      <c r="P23" s="21">
        <f t="shared" si="15"/>
        <v>-0.998503205839816</v>
      </c>
      <c r="Q23" s="21">
        <f t="shared" si="15"/>
        <v>-0.6768107612402517</v>
      </c>
      <c r="R23" s="21">
        <f t="shared" si="15"/>
        <v>-0.31958340121365647</v>
      </c>
      <c r="S23" s="21">
        <f t="shared" si="15"/>
        <v>-2.4456859366347192</v>
      </c>
      <c r="T23" s="21">
        <f t="shared" si="15"/>
        <v>-1.5004476287256954</v>
      </c>
      <c r="U23" s="21">
        <f t="shared" si="15"/>
        <v>-1.1887053321951477</v>
      </c>
      <c r="V23" s="21">
        <f t="shared" si="15"/>
        <v>-0.8067285293626288</v>
      </c>
      <c r="W23" s="18"/>
      <c r="X23" s="18"/>
    </row>
    <row r="24" spans="1:24" ht="12.75">
      <c r="A24" s="19" t="s">
        <v>52</v>
      </c>
      <c r="B24" s="21">
        <f aca="true" t="shared" si="16" ref="B24:K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19"/>
      <c r="M24" s="19"/>
      <c r="N24" s="21">
        <f aca="true" t="shared" si="17" ref="N24:V24">75.3+(19.46*N23)</f>
        <v>58.073026973148814</v>
      </c>
      <c r="O24" s="21">
        <f t="shared" si="17"/>
        <v>57.06084537674871</v>
      </c>
      <c r="P24" s="21">
        <f t="shared" si="17"/>
        <v>55.869127614357176</v>
      </c>
      <c r="Q24" s="21">
        <f t="shared" si="17"/>
        <v>62.1292625862647</v>
      </c>
      <c r="R24" s="21">
        <f t="shared" si="17"/>
        <v>69.08090701238224</v>
      </c>
      <c r="S24" s="21">
        <f t="shared" si="17"/>
        <v>27.706951673088362</v>
      </c>
      <c r="T24" s="21">
        <f t="shared" si="17"/>
        <v>46.10128914499796</v>
      </c>
      <c r="U24" s="21">
        <f t="shared" si="17"/>
        <v>52.16779423548242</v>
      </c>
      <c r="V24" s="21">
        <f t="shared" si="17"/>
        <v>59.60106281860324</v>
      </c>
      <c r="W24" s="18"/>
      <c r="X24" s="18"/>
    </row>
    <row r="25" spans="1:24" ht="12.75">
      <c r="A25" s="19"/>
      <c r="B25" s="21">
        <f aca="true" t="shared" si="18" ref="B25:K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18"/>
      <c r="W25" s="18"/>
      <c r="X25" s="18"/>
    </row>
    <row r="26" spans="1:24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 t="s">
        <v>58</v>
      </c>
      <c r="M26" s="19"/>
      <c r="N26" s="22">
        <f aca="true" t="shared" si="19" ref="N26:U26">(N24+N21+N18)/3</f>
        <v>67.75487332566009</v>
      </c>
      <c r="O26" s="22">
        <f t="shared" si="19"/>
        <v>72.25771936812453</v>
      </c>
      <c r="P26" s="22">
        <f t="shared" si="19"/>
        <v>73.69397158666465</v>
      </c>
      <c r="Q26" s="22">
        <f t="shared" si="19"/>
        <v>73.30534907523385</v>
      </c>
      <c r="R26" s="22">
        <f t="shared" si="19"/>
        <v>68.34456300879302</v>
      </c>
      <c r="S26" s="22">
        <f t="shared" si="19"/>
        <v>45.86820210222444</v>
      </c>
      <c r="T26" s="22">
        <f t="shared" si="19"/>
        <v>43.87902970652963</v>
      </c>
      <c r="U26" s="22">
        <f t="shared" si="19"/>
        <v>48.80629110705257</v>
      </c>
      <c r="V26" s="22">
        <f>(V24+V21+V18)/3</f>
        <v>55.45054896851536</v>
      </c>
      <c r="W26" s="18"/>
      <c r="X26" s="18"/>
    </row>
    <row r="27" spans="1:24" ht="12.75">
      <c r="A27" s="19" t="s">
        <v>57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 t="s">
        <v>56</v>
      </c>
      <c r="O27" s="19" t="s">
        <v>56</v>
      </c>
      <c r="P27" s="19" t="s">
        <v>56</v>
      </c>
      <c r="Q27" s="19" t="s">
        <v>56</v>
      </c>
      <c r="R27" s="19" t="s">
        <v>56</v>
      </c>
      <c r="S27" s="18" t="s">
        <v>55</v>
      </c>
      <c r="T27" s="18" t="s">
        <v>29</v>
      </c>
      <c r="U27" s="18" t="s">
        <v>55</v>
      </c>
      <c r="V27" s="18" t="s">
        <v>83</v>
      </c>
      <c r="W27" s="18"/>
      <c r="X27" s="18"/>
    </row>
    <row r="28" spans="1:24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/>
      <c r="M28" s="19"/>
      <c r="N28" s="19"/>
      <c r="O28" s="19"/>
      <c r="P28" s="19"/>
      <c r="Q28" s="19"/>
      <c r="R28" s="19"/>
      <c r="S28" s="18"/>
      <c r="T28" s="18"/>
      <c r="U28" s="18"/>
      <c r="V28" s="18"/>
      <c r="W28" s="18"/>
      <c r="X28" s="18"/>
    </row>
    <row r="29" spans="1:24" ht="12.75">
      <c r="A29" s="19" t="s">
        <v>21</v>
      </c>
      <c r="B29" s="19"/>
      <c r="C29" s="21">
        <f aca="true" t="shared" si="20" ref="C29:K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.75">
      <c r="A30" s="19"/>
      <c r="B30" s="19"/>
      <c r="C30" s="21">
        <f aca="true" t="shared" si="21" ref="C30:K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19"/>
      <c r="M30" s="19"/>
      <c r="N30" s="19"/>
      <c r="O30" s="19"/>
      <c r="P30" s="19"/>
      <c r="Q30" s="19"/>
      <c r="R30" s="19"/>
      <c r="S30" s="18"/>
      <c r="T30" s="18"/>
      <c r="U30" s="18"/>
      <c r="V30" s="18"/>
      <c r="W30" s="18"/>
      <c r="X30" s="18"/>
    </row>
    <row r="31" spans="1:24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8"/>
      <c r="T31" s="18"/>
      <c r="U31" s="18"/>
      <c r="V31" s="18"/>
      <c r="W31" s="18"/>
      <c r="X31" s="18"/>
    </row>
    <row r="32" spans="1:24" ht="12.75">
      <c r="A32" s="19" t="s">
        <v>17</v>
      </c>
      <c r="B32" s="19"/>
      <c r="C32" s="21">
        <f aca="true" t="shared" si="22" ref="C32:K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2.75">
      <c r="A33" s="19"/>
      <c r="B33" s="19"/>
      <c r="C33" s="21">
        <f aca="true" t="shared" si="23" ref="C33:K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2.75">
      <c r="A36" s="19"/>
      <c r="B36" s="19"/>
      <c r="C36" s="21">
        <f aca="true" t="shared" si="25" ref="C36:K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2.75">
      <c r="A42" s="18"/>
      <c r="B42" s="18"/>
      <c r="C42" s="18"/>
      <c r="D42" s="18"/>
      <c r="E42" s="18"/>
      <c r="F42" s="18"/>
      <c r="G42" s="25" t="s">
        <v>79</v>
      </c>
      <c r="H42" s="25" t="s">
        <v>87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/>
      <c r="C43" s="18"/>
      <c r="D43" s="18"/>
      <c r="E43" s="18"/>
      <c r="F43" s="18"/>
      <c r="G43" s="25" t="s">
        <v>77</v>
      </c>
      <c r="H43" s="25" t="s">
        <v>86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/>
      <c r="C44" s="18"/>
      <c r="D44" s="18"/>
      <c r="E44" s="18"/>
      <c r="F44" s="18"/>
      <c r="G44" s="25" t="s">
        <v>74</v>
      </c>
      <c r="H44" s="25" t="s">
        <v>85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18"/>
      <c r="B45" s="18"/>
      <c r="C45" s="18"/>
      <c r="D45" s="18"/>
      <c r="E45" s="18"/>
      <c r="F45" s="18"/>
      <c r="G45" s="25" t="s">
        <v>72</v>
      </c>
      <c r="H45" s="25" t="s">
        <v>84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2.75">
      <c r="A46" s="20" t="s">
        <v>51</v>
      </c>
      <c r="B46" s="19"/>
      <c r="C46" s="19" t="s">
        <v>50</v>
      </c>
      <c r="D46" s="19"/>
      <c r="E46" s="19"/>
      <c r="F46" s="19"/>
      <c r="G46" s="25" t="s">
        <v>70</v>
      </c>
      <c r="H46" s="25" t="s">
        <v>83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2.75">
      <c r="A47" s="20" t="s">
        <v>49</v>
      </c>
      <c r="B47" s="19"/>
      <c r="C47" s="19" t="s">
        <v>48</v>
      </c>
      <c r="D47" s="19"/>
      <c r="E47" s="19"/>
      <c r="F47" s="19"/>
      <c r="G47" s="25" t="s">
        <v>67</v>
      </c>
      <c r="H47" s="25" t="s">
        <v>82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2.75">
      <c r="A48" s="20" t="s">
        <v>47</v>
      </c>
      <c r="B48" s="19"/>
      <c r="C48" s="19" t="s">
        <v>46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3"/>
  <sheetViews>
    <sheetView workbookViewId="0" topLeftCell="D38">
      <selection activeCell="B16" sqref="B16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1999</v>
      </c>
      <c r="B1" s="10" t="s">
        <v>15</v>
      </c>
    </row>
    <row r="2" spans="3:4" ht="12.75">
      <c r="C2" s="10" t="s">
        <v>17</v>
      </c>
      <c r="D2" s="10" t="s">
        <v>16</v>
      </c>
    </row>
    <row r="3" spans="1:5" ht="12.75">
      <c r="A3" s="12"/>
      <c r="B3" s="102"/>
      <c r="E3" s="10" t="s">
        <v>88</v>
      </c>
    </row>
    <row r="4" spans="1:5" ht="12.75">
      <c r="A4" s="12"/>
      <c r="B4" s="102"/>
      <c r="C4" s="10">
        <v>3.6</v>
      </c>
      <c r="D4" s="10">
        <v>3</v>
      </c>
      <c r="E4" s="10" t="s">
        <v>0</v>
      </c>
    </row>
    <row r="5" spans="1:5" ht="12.75">
      <c r="A5" s="12"/>
      <c r="B5" s="102"/>
      <c r="C5" s="10">
        <v>4.6</v>
      </c>
      <c r="D5" s="10">
        <v>2.5</v>
      </c>
      <c r="E5" s="10" t="s">
        <v>1</v>
      </c>
    </row>
    <row r="6" spans="1:5" ht="12.75">
      <c r="A6" s="12"/>
      <c r="B6" s="102"/>
      <c r="C6" s="10">
        <v>4</v>
      </c>
      <c r="D6" s="10">
        <v>2</v>
      </c>
      <c r="E6" s="10" t="s">
        <v>2</v>
      </c>
    </row>
    <row r="7" spans="1:5" ht="12.75">
      <c r="A7" s="12"/>
      <c r="B7" s="102"/>
      <c r="C7" s="10">
        <v>4.6</v>
      </c>
      <c r="D7" s="10">
        <v>1</v>
      </c>
      <c r="E7" s="10" t="s">
        <v>3</v>
      </c>
    </row>
    <row r="8" spans="1:5" ht="12.75">
      <c r="A8" s="12"/>
      <c r="B8" s="102"/>
      <c r="C8" s="10">
        <v>11</v>
      </c>
      <c r="D8" s="10">
        <v>0.6</v>
      </c>
      <c r="E8" s="10" t="s">
        <v>4</v>
      </c>
    </row>
    <row r="9" spans="1:5" ht="12.75">
      <c r="A9" s="12"/>
      <c r="B9" s="102"/>
      <c r="C9" s="10">
        <v>2</v>
      </c>
      <c r="D9" s="10">
        <v>2</v>
      </c>
      <c r="E9" s="10" t="s">
        <v>5</v>
      </c>
    </row>
    <row r="10" spans="1:5" ht="12.75">
      <c r="A10" s="12"/>
      <c r="B10" s="102"/>
      <c r="C10" s="10">
        <v>3.5</v>
      </c>
      <c r="D10" s="10">
        <v>2.8</v>
      </c>
      <c r="E10" s="10" t="s">
        <v>6</v>
      </c>
    </row>
    <row r="11" spans="1:5" ht="12.75">
      <c r="A11" s="12"/>
      <c r="B11" s="102">
        <f>AVERAGE(C7:C11)</f>
        <v>4.94</v>
      </c>
      <c r="C11" s="10">
        <v>3.6</v>
      </c>
      <c r="D11" s="10">
        <v>2</v>
      </c>
      <c r="E11" s="10" t="s">
        <v>7</v>
      </c>
    </row>
    <row r="12" spans="1:5" ht="12.75">
      <c r="A12" s="12"/>
      <c r="B12" s="102"/>
      <c r="C12" s="10">
        <v>7.3</v>
      </c>
      <c r="D12" s="10">
        <v>2.5</v>
      </c>
      <c r="E12" s="10" t="s">
        <v>8</v>
      </c>
    </row>
    <row r="13" spans="1:5" ht="12.75">
      <c r="A13" s="12"/>
      <c r="B13" s="102"/>
      <c r="C13" s="10">
        <v>5.3</v>
      </c>
      <c r="D13" s="10">
        <v>2</v>
      </c>
      <c r="E13" s="10" t="s">
        <v>9</v>
      </c>
    </row>
    <row r="14" spans="1:5" ht="12.75">
      <c r="A14" s="12"/>
      <c r="B14" s="102"/>
      <c r="C14" s="10">
        <v>1.9</v>
      </c>
      <c r="D14" s="10">
        <v>2.5</v>
      </c>
      <c r="E14" s="10" t="s">
        <v>10</v>
      </c>
    </row>
    <row r="15" spans="1:2" ht="12.75">
      <c r="A15" s="12"/>
      <c r="B15" s="102"/>
    </row>
    <row r="16" spans="1:4" ht="12.75">
      <c r="A16" s="12"/>
      <c r="B16" s="102"/>
      <c r="C16" s="10">
        <f>AVERAGE(C7:C14)</f>
        <v>4.8999999999999995</v>
      </c>
      <c r="D16" s="10">
        <f>AVERAGE(D7:D14)</f>
        <v>1.925</v>
      </c>
    </row>
    <row r="17" spans="1:2" ht="12.75">
      <c r="A17" s="12"/>
      <c r="B17" s="102"/>
    </row>
    <row r="19" spans="1:7" ht="12.75">
      <c r="A19" s="10" t="s">
        <v>100</v>
      </c>
      <c r="B19" s="9" t="s">
        <v>17</v>
      </c>
      <c r="C19" s="9" t="s">
        <v>37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10" ht="12.75">
      <c r="A37" s="10" t="s">
        <v>192</v>
      </c>
      <c r="B37" s="9" t="s">
        <v>17</v>
      </c>
      <c r="C37" s="9" t="s">
        <v>37</v>
      </c>
      <c r="D37" s="10" t="s">
        <v>44</v>
      </c>
      <c r="E37" s="1" t="s">
        <v>45</v>
      </c>
      <c r="F37" s="16"/>
      <c r="G37" t="s">
        <v>125</v>
      </c>
      <c r="H37" s="10" t="s">
        <v>37</v>
      </c>
      <c r="I37" s="10" t="s">
        <v>126</v>
      </c>
      <c r="J37" s="10" t="s">
        <v>127</v>
      </c>
    </row>
    <row r="38" spans="1:11" ht="12.75">
      <c r="A38" s="9">
        <v>1982</v>
      </c>
      <c r="B38" s="9">
        <v>15</v>
      </c>
      <c r="C38" s="9">
        <v>23</v>
      </c>
      <c r="D38" s="10">
        <f>LOG(B38)</f>
        <v>1.1760912590556813</v>
      </c>
      <c r="E38" s="10">
        <f>LOG(C38)</f>
        <v>1.3617278360175928</v>
      </c>
      <c r="F38" s="16"/>
      <c r="G38"/>
      <c r="H38" s="10">
        <v>14.3</v>
      </c>
      <c r="I38" s="10">
        <v>3.3</v>
      </c>
      <c r="J38" s="10">
        <v>4.6</v>
      </c>
      <c r="K38" s="10" t="s">
        <v>128</v>
      </c>
    </row>
    <row r="39" spans="1:7" ht="12.75">
      <c r="A39" s="9">
        <v>1983</v>
      </c>
      <c r="B39" s="9">
        <v>16</v>
      </c>
      <c r="C39" s="9">
        <v>50</v>
      </c>
      <c r="D39" s="10">
        <f aca="true" t="shared" si="0" ref="D39:D54">LOG(B39)</f>
        <v>1.2041199826559248</v>
      </c>
      <c r="E39" s="10">
        <f aca="true" t="shared" si="1" ref="E39:E54">LOG(C39)</f>
        <v>1.6989700043360187</v>
      </c>
      <c r="F39" s="16"/>
      <c r="G39"/>
    </row>
    <row r="40" spans="1:7" ht="12.75">
      <c r="A40" s="9">
        <v>1984</v>
      </c>
      <c r="B40" s="9">
        <v>6.7</v>
      </c>
      <c r="C40" s="9">
        <v>35</v>
      </c>
      <c r="D40" s="10">
        <f t="shared" si="0"/>
        <v>0.8260748027008264</v>
      </c>
      <c r="E40" s="10">
        <f t="shared" si="1"/>
        <v>1.5440680443502757</v>
      </c>
      <c r="F40" s="16"/>
      <c r="G40"/>
    </row>
    <row r="41" spans="1:7" ht="12.75">
      <c r="A41" s="9">
        <v>1985</v>
      </c>
      <c r="B41" s="9">
        <v>8.9</v>
      </c>
      <c r="C41" s="9">
        <v>28</v>
      </c>
      <c r="D41" s="10">
        <f t="shared" si="0"/>
        <v>0.9493900066449128</v>
      </c>
      <c r="E41" s="10">
        <f t="shared" si="1"/>
        <v>1.4471580313422192</v>
      </c>
      <c r="F41" s="16"/>
      <c r="G41"/>
    </row>
    <row r="42" spans="1:7" ht="12.75">
      <c r="A42" s="9">
        <v>1987</v>
      </c>
      <c r="B42" s="9">
        <v>15</v>
      </c>
      <c r="C42" s="9">
        <v>60</v>
      </c>
      <c r="D42" s="10">
        <f t="shared" si="0"/>
        <v>1.1760912590556813</v>
      </c>
      <c r="E42" s="10">
        <f t="shared" si="1"/>
        <v>1.7781512503836436</v>
      </c>
      <c r="F42" s="16"/>
      <c r="G42"/>
    </row>
    <row r="43" spans="1:7" ht="12.75">
      <c r="A43" s="9">
        <v>1988</v>
      </c>
      <c r="B43" s="9">
        <v>9</v>
      </c>
      <c r="C43" s="9">
        <v>15</v>
      </c>
      <c r="D43" s="10">
        <f t="shared" si="0"/>
        <v>0.9542425094393249</v>
      </c>
      <c r="E43" s="10">
        <f t="shared" si="1"/>
        <v>1.1760912590556813</v>
      </c>
      <c r="F43" s="16"/>
      <c r="G43"/>
    </row>
    <row r="44" spans="1:7" ht="12.75">
      <c r="A44" s="9">
        <v>1989</v>
      </c>
      <c r="B44" s="9">
        <v>2.3</v>
      </c>
      <c r="C44" s="9">
        <v>12</v>
      </c>
      <c r="D44" s="10">
        <f t="shared" si="0"/>
        <v>0.36172783601759284</v>
      </c>
      <c r="E44" s="10">
        <f t="shared" si="1"/>
        <v>1.0791812460476249</v>
      </c>
      <c r="F44" s="16"/>
      <c r="G44"/>
    </row>
    <row r="45" spans="1:7" ht="12.75">
      <c r="A45" s="9">
        <v>1990</v>
      </c>
      <c r="B45" s="9">
        <v>6.6</v>
      </c>
      <c r="C45" s="9">
        <v>27</v>
      </c>
      <c r="D45" s="10">
        <f t="shared" si="0"/>
        <v>0.8195439355418687</v>
      </c>
      <c r="E45" s="10">
        <f t="shared" si="1"/>
        <v>1.4313637641589874</v>
      </c>
      <c r="F45" s="16"/>
      <c r="G45"/>
    </row>
    <row r="46" spans="1:7" ht="12.75">
      <c r="A46" s="9">
        <v>1991</v>
      </c>
      <c r="B46" s="9">
        <v>4.6</v>
      </c>
      <c r="C46" s="9">
        <v>29</v>
      </c>
      <c r="D46" s="10">
        <f t="shared" si="0"/>
        <v>0.6627578316815741</v>
      </c>
      <c r="E46" s="10">
        <f t="shared" si="1"/>
        <v>1.462397997898956</v>
      </c>
      <c r="F46" s="16"/>
      <c r="G46"/>
    </row>
    <row r="47" spans="1:7" ht="12.75">
      <c r="A47" s="9">
        <v>1992</v>
      </c>
      <c r="B47" s="9">
        <v>4.5</v>
      </c>
      <c r="C47" s="9">
        <v>27</v>
      </c>
      <c r="D47" s="10">
        <f t="shared" si="0"/>
        <v>0.6532125137753437</v>
      </c>
      <c r="E47" s="10">
        <f t="shared" si="1"/>
        <v>1.4313637641589874</v>
      </c>
      <c r="F47" s="16"/>
      <c r="G47"/>
    </row>
    <row r="48" spans="1:7" ht="12.75">
      <c r="A48" s="9">
        <v>1993</v>
      </c>
      <c r="B48" s="9">
        <v>4.1</v>
      </c>
      <c r="C48" s="9">
        <v>18</v>
      </c>
      <c r="D48" s="10">
        <f t="shared" si="0"/>
        <v>0.6127838567197355</v>
      </c>
      <c r="E48" s="10">
        <f t="shared" si="1"/>
        <v>1.255272505103306</v>
      </c>
      <c r="F48" s="16"/>
      <c r="G48"/>
    </row>
    <row r="49" spans="1:7" ht="12.75">
      <c r="A49" s="9">
        <v>1994</v>
      </c>
      <c r="B49" s="9">
        <v>3.2</v>
      </c>
      <c r="C49" s="9">
        <v>29</v>
      </c>
      <c r="D49" s="10">
        <f t="shared" si="0"/>
        <v>0.505149978319906</v>
      </c>
      <c r="E49" s="10">
        <f t="shared" si="1"/>
        <v>1.462397997898956</v>
      </c>
      <c r="F49" s="16"/>
      <c r="G49"/>
    </row>
    <row r="50" spans="1:7" ht="12.75">
      <c r="A50" s="9">
        <v>1995</v>
      </c>
      <c r="B50" s="9">
        <v>1.2</v>
      </c>
      <c r="C50" s="9">
        <v>20</v>
      </c>
      <c r="D50" s="10">
        <f t="shared" si="0"/>
        <v>0.07918124604762482</v>
      </c>
      <c r="E50" s="10">
        <f t="shared" si="1"/>
        <v>1.3010299956639813</v>
      </c>
      <c r="F50" s="16"/>
      <c r="G50"/>
    </row>
    <row r="51" spans="1:7" ht="12.75">
      <c r="A51" s="9">
        <v>1996</v>
      </c>
      <c r="B51" s="9">
        <v>4.3</v>
      </c>
      <c r="C51" s="9">
        <v>37</v>
      </c>
      <c r="D51" s="10">
        <f t="shared" si="0"/>
        <v>0.6334684555795865</v>
      </c>
      <c r="E51" s="10">
        <f t="shared" si="1"/>
        <v>1.568201724066995</v>
      </c>
      <c r="F51" s="16"/>
      <c r="G51"/>
    </row>
    <row r="52" spans="1:7" ht="12.75">
      <c r="A52" s="9">
        <v>1997</v>
      </c>
      <c r="B52" s="9">
        <v>2.8</v>
      </c>
      <c r="C52" s="9">
        <v>15</v>
      </c>
      <c r="D52" s="10">
        <f t="shared" si="0"/>
        <v>0.4471580313422192</v>
      </c>
      <c r="E52" s="10">
        <f t="shared" si="1"/>
        <v>1.1760912590556813</v>
      </c>
      <c r="F52" s="16"/>
      <c r="G52"/>
    </row>
    <row r="53" spans="1:7" ht="12.75">
      <c r="A53" s="9">
        <v>1998</v>
      </c>
      <c r="B53" s="9">
        <v>2.9</v>
      </c>
      <c r="C53" s="9">
        <v>17</v>
      </c>
      <c r="D53" s="10">
        <f t="shared" si="0"/>
        <v>0.4623979978989561</v>
      </c>
      <c r="E53" s="10">
        <f t="shared" si="1"/>
        <v>1.2304489213782739</v>
      </c>
      <c r="F53" s="16"/>
      <c r="G53"/>
    </row>
    <row r="54" spans="1:7" ht="12.75">
      <c r="A54" s="9">
        <v>1999</v>
      </c>
      <c r="B54" s="9">
        <v>3</v>
      </c>
      <c r="C54" s="9">
        <v>17</v>
      </c>
      <c r="D54" s="10">
        <f t="shared" si="0"/>
        <v>0.47712125471966244</v>
      </c>
      <c r="E54" s="10">
        <f t="shared" si="1"/>
        <v>1.2304489213782739</v>
      </c>
      <c r="F54" s="16"/>
      <c r="G54"/>
    </row>
    <row r="55" spans="5:7" ht="12.75">
      <c r="E55" s="1"/>
      <c r="F55" s="16"/>
      <c r="G55"/>
    </row>
    <row r="56" spans="5:7" ht="12.75">
      <c r="E56" s="1"/>
      <c r="F56" s="16"/>
      <c r="G56"/>
    </row>
    <row r="57" spans="1:7" ht="12.75">
      <c r="A57" s="7"/>
      <c r="B57" s="7"/>
      <c r="C57" s="7"/>
      <c r="D57" s="7"/>
      <c r="E57" s="131"/>
      <c r="F57" s="132"/>
      <c r="G57"/>
    </row>
    <row r="58" spans="1:7" ht="12.75">
      <c r="A58" s="133" t="s">
        <v>151</v>
      </c>
      <c r="B58" s="134"/>
      <c r="C58" s="134"/>
      <c r="D58" s="7"/>
      <c r="E58" s="131"/>
      <c r="F58" s="132"/>
      <c r="G58"/>
    </row>
    <row r="59" spans="1:7" ht="12.75">
      <c r="A59" s="133" t="s">
        <v>191</v>
      </c>
      <c r="B59" s="134"/>
      <c r="C59" s="134"/>
      <c r="D59" s="7"/>
      <c r="E59" s="131"/>
      <c r="F59" s="132"/>
      <c r="G59"/>
    </row>
    <row r="60" spans="1:7" ht="12.75">
      <c r="A60" s="133" t="s">
        <v>152</v>
      </c>
      <c r="B60" s="134"/>
      <c r="C60" s="134"/>
      <c r="D60" s="7"/>
      <c r="E60" s="131"/>
      <c r="F60" s="132"/>
      <c r="G60"/>
    </row>
    <row r="61" spans="1:7" ht="15.75">
      <c r="A61" s="122"/>
      <c r="B61" s="6" t="s">
        <v>153</v>
      </c>
      <c r="C61" s="7"/>
      <c r="E61" s="1"/>
      <c r="F61" s="16"/>
      <c r="G61"/>
    </row>
    <row r="62" spans="1:7" ht="15.75">
      <c r="A62" s="122"/>
      <c r="B62" s="6" t="s">
        <v>154</v>
      </c>
      <c r="C62" s="6" t="s">
        <v>20</v>
      </c>
      <c r="E62" s="1"/>
      <c r="F62" s="16"/>
      <c r="G62"/>
    </row>
    <row r="63" spans="1:7" ht="12.75">
      <c r="A63"/>
      <c r="B63" s="6" t="s">
        <v>155</v>
      </c>
      <c r="C63" s="6" t="s">
        <v>155</v>
      </c>
      <c r="E63" s="1"/>
      <c r="F63" s="16"/>
      <c r="G63"/>
    </row>
    <row r="64" spans="1:7" ht="18.75">
      <c r="A64" s="123" t="s">
        <v>24</v>
      </c>
      <c r="B64" s="121" t="s">
        <v>174</v>
      </c>
      <c r="C64" s="121" t="s">
        <v>156</v>
      </c>
      <c r="E64" s="1"/>
      <c r="F64" s="16"/>
      <c r="G64"/>
    </row>
    <row r="65" spans="1:7" ht="15.75">
      <c r="A65" s="123">
        <v>1982</v>
      </c>
      <c r="B65" s="159">
        <v>23</v>
      </c>
      <c r="C65" s="124">
        <v>15</v>
      </c>
      <c r="E65" s="1"/>
      <c r="F65" s="16"/>
      <c r="G65"/>
    </row>
    <row r="66" spans="1:7" ht="15.75">
      <c r="A66" s="123">
        <v>1983</v>
      </c>
      <c r="B66" s="159">
        <v>50</v>
      </c>
      <c r="C66" s="124">
        <v>16</v>
      </c>
      <c r="E66" s="1"/>
      <c r="F66" s="16"/>
      <c r="G66"/>
    </row>
    <row r="67" spans="1:7" ht="15.75">
      <c r="A67" s="123">
        <v>1984</v>
      </c>
      <c r="B67" s="159">
        <v>35</v>
      </c>
      <c r="C67" s="123">
        <v>6.7</v>
      </c>
      <c r="E67" s="1"/>
      <c r="F67" s="16"/>
      <c r="G67"/>
    </row>
    <row r="68" spans="1:7" ht="15.75">
      <c r="A68" s="123">
        <v>1985</v>
      </c>
      <c r="B68" s="159">
        <v>28</v>
      </c>
      <c r="C68" s="123">
        <v>8.9</v>
      </c>
      <c r="E68" s="1"/>
      <c r="F68" s="16"/>
      <c r="G68"/>
    </row>
    <row r="69" spans="1:7" ht="18.75">
      <c r="A69" s="123">
        <v>1986</v>
      </c>
      <c r="B69" s="160" t="s">
        <v>157</v>
      </c>
      <c r="C69" s="125" t="s">
        <v>157</v>
      </c>
      <c r="E69" s="1"/>
      <c r="F69" s="16"/>
      <c r="G69"/>
    </row>
    <row r="70" spans="1:7" ht="15.75">
      <c r="A70" s="123">
        <v>1987</v>
      </c>
      <c r="B70" s="159">
        <v>77</v>
      </c>
      <c r="C70" s="126">
        <v>5.683333333333334</v>
      </c>
      <c r="E70" s="1"/>
      <c r="F70" s="16"/>
      <c r="G70"/>
    </row>
    <row r="71" spans="1:7" ht="15.75">
      <c r="A71" s="123">
        <v>1988</v>
      </c>
      <c r="B71" s="159">
        <v>23</v>
      </c>
      <c r="C71" s="127">
        <v>7.6433333333333335</v>
      </c>
      <c r="E71" s="1"/>
      <c r="F71" s="16"/>
      <c r="G71"/>
    </row>
    <row r="72" spans="1:7" ht="15.75">
      <c r="A72" s="123">
        <v>1989</v>
      </c>
      <c r="B72" s="159">
        <v>11</v>
      </c>
      <c r="C72" s="127">
        <v>3.6277777777777778</v>
      </c>
      <c r="E72" s="1"/>
      <c r="F72" s="16"/>
      <c r="G72"/>
    </row>
    <row r="73" spans="1:7" ht="15.75">
      <c r="A73" s="123">
        <v>1990</v>
      </c>
      <c r="B73" s="159">
        <v>15</v>
      </c>
      <c r="C73" s="127">
        <v>7.066666666666666</v>
      </c>
      <c r="E73" s="1"/>
      <c r="F73" s="16"/>
      <c r="G73"/>
    </row>
    <row r="74" spans="1:7" ht="15.75">
      <c r="A74" s="123">
        <v>1991</v>
      </c>
      <c r="B74" s="159">
        <v>25</v>
      </c>
      <c r="C74" s="128">
        <v>2.983333333333333</v>
      </c>
      <c r="E74" s="1"/>
      <c r="F74" s="16"/>
      <c r="G74"/>
    </row>
    <row r="75" spans="1:7" ht="15.75">
      <c r="A75" s="123">
        <v>1992</v>
      </c>
      <c r="B75" s="159">
        <v>15</v>
      </c>
      <c r="C75" s="128">
        <v>3.9291666666666663</v>
      </c>
      <c r="E75" s="1"/>
      <c r="F75" s="16"/>
      <c r="G75"/>
    </row>
    <row r="76" spans="1:7" ht="15.75">
      <c r="A76" s="123">
        <v>1993</v>
      </c>
      <c r="B76" s="159">
        <v>15</v>
      </c>
      <c r="C76" s="128">
        <v>3.9916666666666667</v>
      </c>
      <c r="E76" s="1"/>
      <c r="F76" s="16"/>
      <c r="G76"/>
    </row>
    <row r="77" spans="1:7" ht="15.75">
      <c r="A77" s="123">
        <v>1994</v>
      </c>
      <c r="B77" s="161">
        <v>13</v>
      </c>
      <c r="C77" s="129">
        <v>3.016666666666666</v>
      </c>
      <c r="E77" s="1"/>
      <c r="F77" s="16"/>
      <c r="G77"/>
    </row>
    <row r="78" spans="1:7" ht="15.75">
      <c r="A78" s="123">
        <v>1995</v>
      </c>
      <c r="B78" s="161">
        <v>10</v>
      </c>
      <c r="C78" s="129">
        <v>3.5708333333333333</v>
      </c>
      <c r="E78" s="1"/>
      <c r="F78" s="16"/>
      <c r="G78"/>
    </row>
    <row r="79" spans="1:7" ht="15.75">
      <c r="A79" s="123">
        <v>1996</v>
      </c>
      <c r="B79" s="161">
        <v>19</v>
      </c>
      <c r="C79" s="129">
        <v>3.9142857142857146</v>
      </c>
      <c r="E79" s="1"/>
      <c r="F79" s="16"/>
      <c r="G79"/>
    </row>
    <row r="80" spans="1:7" ht="15.75">
      <c r="A80" s="123">
        <v>1997</v>
      </c>
      <c r="B80" s="161">
        <v>15</v>
      </c>
      <c r="C80" s="129">
        <v>2.411111111111111</v>
      </c>
      <c r="E80" s="1"/>
      <c r="F80" s="16"/>
      <c r="G80"/>
    </row>
    <row r="81" spans="1:7" ht="15.75">
      <c r="A81" s="123">
        <v>1998</v>
      </c>
      <c r="B81" s="162">
        <v>24</v>
      </c>
      <c r="C81" s="127">
        <v>3.8</v>
      </c>
      <c r="E81" s="1"/>
      <c r="F81" s="16"/>
      <c r="G81"/>
    </row>
    <row r="82" spans="1:7" ht="16.5" thickBot="1">
      <c r="A82" s="157">
        <v>1999</v>
      </c>
      <c r="B82" s="163">
        <v>17</v>
      </c>
      <c r="C82" s="158">
        <v>4.7</v>
      </c>
      <c r="E82" s="1"/>
      <c r="F82" s="16"/>
      <c r="G82"/>
    </row>
    <row r="83" spans="1:7" ht="15.75">
      <c r="A83" s="122"/>
      <c r="B83" s="130"/>
      <c r="C83" s="123"/>
      <c r="E83" s="1"/>
      <c r="F83" s="16"/>
      <c r="G83"/>
    </row>
    <row r="84" spans="1:7" ht="15.75">
      <c r="A84" s="123" t="s">
        <v>158</v>
      </c>
      <c r="B84" s="159">
        <f>AVERAGE(B65:B68,B70:B82)</f>
        <v>24.41176470588235</v>
      </c>
      <c r="C84" s="126">
        <f>AVERAGE(C65:C68,C70:C82)</f>
        <v>6.055186741363211</v>
      </c>
      <c r="E84" s="1"/>
      <c r="F84" s="16"/>
      <c r="G84"/>
    </row>
    <row r="85" spans="1:7" ht="15.75">
      <c r="A85" s="123" t="s">
        <v>159</v>
      </c>
      <c r="B85" s="159">
        <f>STDEVP(B65:B68,B70:B82)</f>
        <v>16.28083978008004</v>
      </c>
      <c r="C85" s="126">
        <f>STDEVP(C65:C68,C70:C82)</f>
        <v>3.876002722128221</v>
      </c>
      <c r="E85" s="1"/>
      <c r="F85" s="16"/>
      <c r="G85"/>
    </row>
    <row r="86" spans="1:7" ht="15.75">
      <c r="A86" s="123" t="s">
        <v>160</v>
      </c>
      <c r="B86" s="159">
        <f>MAX(B65:B68,B70:B82)</f>
        <v>77</v>
      </c>
      <c r="C86" s="126">
        <f>MAX(C65:C68,C70:C82)</f>
        <v>16</v>
      </c>
      <c r="E86" s="1"/>
      <c r="F86" s="16"/>
      <c r="G86"/>
    </row>
    <row r="87" spans="1:7" ht="15.75">
      <c r="A87" s="123" t="s">
        <v>161</v>
      </c>
      <c r="B87" s="159">
        <f>MIN(B65:B68,B70:B82)</f>
        <v>10</v>
      </c>
      <c r="C87" s="126">
        <f>MIN(C65:C68,C70:C82)</f>
        <v>2.411111111111111</v>
      </c>
      <c r="E87" s="1"/>
      <c r="F87" s="16"/>
      <c r="G87"/>
    </row>
    <row r="88" spans="1:7" ht="15.75">
      <c r="A88" s="123" t="s">
        <v>162</v>
      </c>
      <c r="B88" s="124">
        <f>COUNTA(B65:B68,B70:B82)</f>
        <v>17</v>
      </c>
      <c r="C88" s="124">
        <f>COUNTA(C65:C68,C70:C82)</f>
        <v>17</v>
      </c>
      <c r="E88" s="1"/>
      <c r="F88" s="16"/>
      <c r="G88"/>
    </row>
    <row r="89" spans="5:7" ht="12.75">
      <c r="E89" s="1"/>
      <c r="F89" s="16"/>
      <c r="G89"/>
    </row>
    <row r="90" spans="5:7" ht="12.75">
      <c r="E90" s="1"/>
      <c r="F90" s="16"/>
      <c r="G90"/>
    </row>
    <row r="91" spans="5:7" ht="12.75">
      <c r="E91" s="1"/>
      <c r="F91" s="16"/>
      <c r="G91"/>
    </row>
    <row r="92" spans="5:7" ht="12.75">
      <c r="E92" s="1"/>
      <c r="F92" s="16"/>
      <c r="G92"/>
    </row>
    <row r="93" spans="5:7" ht="12.75">
      <c r="E93" s="1"/>
      <c r="F93" s="16"/>
      <c r="G93"/>
    </row>
    <row r="231" spans="5:7" ht="12.75">
      <c r="E231"/>
      <c r="F231" s="16"/>
      <c r="G231"/>
    </row>
    <row r="232" spans="5:7" ht="12.75">
      <c r="E232"/>
      <c r="F232" s="16"/>
      <c r="G232"/>
    </row>
    <row r="233" spans="5:7" ht="12.75">
      <c r="E233"/>
      <c r="F233" s="16"/>
      <c r="G233"/>
    </row>
    <row r="234" spans="5:7" ht="12.75">
      <c r="E234"/>
      <c r="F234" s="16"/>
      <c r="G234"/>
    </row>
    <row r="235" spans="5:7" ht="12.75">
      <c r="E235"/>
      <c r="F235" s="16"/>
      <c r="G235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38">
      <selection activeCell="C53" sqref="C53"/>
    </sheetView>
  </sheetViews>
  <sheetFormatPr defaultColWidth="9.140625" defaultRowHeight="12.75"/>
  <cols>
    <col min="1" max="1" width="20.57421875" style="10" bestFit="1" customWidth="1"/>
    <col min="2" max="2" width="11.57421875" style="10" bestFit="1" customWidth="1"/>
    <col min="3" max="3" width="10.57421875" style="10" bestFit="1" customWidth="1"/>
    <col min="4" max="4" width="10.421875" style="10" customWidth="1"/>
    <col min="5" max="5" width="11.57421875" style="10" bestFit="1" customWidth="1"/>
    <col min="6" max="6" width="11.00390625" style="10" bestFit="1" customWidth="1"/>
    <col min="7" max="7" width="12.57421875" style="10" bestFit="1" customWidth="1"/>
    <col min="8" max="16384" width="9.140625" style="10" customWidth="1"/>
  </cols>
  <sheetData>
    <row r="1" spans="1:7" ht="12.75">
      <c r="A1" s="53" t="s">
        <v>133</v>
      </c>
      <c r="B1" s="31"/>
      <c r="C1" s="31"/>
      <c r="D1" s="31"/>
      <c r="E1" s="31"/>
      <c r="F1" s="31"/>
      <c r="G1" s="31"/>
    </row>
    <row r="2" spans="1:7" ht="12.75">
      <c r="A2" s="50" t="s">
        <v>12</v>
      </c>
      <c r="B2" s="50" t="s">
        <v>113</v>
      </c>
      <c r="C2" s="50" t="s">
        <v>89</v>
      </c>
      <c r="D2" s="54" t="s">
        <v>116</v>
      </c>
      <c r="E2" s="54" t="s">
        <v>11</v>
      </c>
      <c r="F2" s="54" t="s">
        <v>118</v>
      </c>
      <c r="G2" s="100" t="s">
        <v>131</v>
      </c>
    </row>
    <row r="3" spans="1:7" ht="12.75">
      <c r="A3" s="55" t="s">
        <v>88</v>
      </c>
      <c r="B3" s="56"/>
      <c r="C3" s="56"/>
      <c r="D3" s="56"/>
      <c r="E3" s="56"/>
      <c r="F3" s="56"/>
      <c r="G3" s="31"/>
    </row>
    <row r="4" spans="1:7" ht="12.75">
      <c r="A4" s="55" t="s">
        <v>0</v>
      </c>
      <c r="B4" s="56">
        <f>(F116*'River-Res data'!V85)*2.723</f>
        <v>1889.89815</v>
      </c>
      <c r="C4" s="56">
        <f>(G116*'River-Res data'!V111)*2.723</f>
        <v>2603.52369144</v>
      </c>
      <c r="D4" s="56">
        <f>(H116*'River-Res data'!W132)*2.723</f>
        <v>2342.46576032</v>
      </c>
      <c r="E4" s="56">
        <f>(I116*'River-Res data'!W65)*2.723</f>
        <v>16.933487424000003</v>
      </c>
      <c r="F4" s="56">
        <f aca="true" t="shared" si="0" ref="F4:F14">(B4+C4)-E4</f>
        <v>4476.488354016</v>
      </c>
      <c r="G4" s="57"/>
    </row>
    <row r="5" spans="1:7" ht="12.75">
      <c r="A5" s="55" t="s">
        <v>1</v>
      </c>
      <c r="B5" s="56">
        <f>(F117*'River-Res data'!V86)*2.723</f>
        <v>937.3894824</v>
      </c>
      <c r="C5" s="56">
        <f>(G117*'River-Res data'!V112)*2.723</f>
        <v>1176.925973349</v>
      </c>
      <c r="D5" s="56">
        <f>(H117*'River-Res data'!W133)*2.723</f>
        <v>2268.3868954199997</v>
      </c>
      <c r="E5" s="56">
        <f>(I117*'River-Res data'!W66)*2.723</f>
        <v>410.10789855</v>
      </c>
      <c r="F5" s="56">
        <f t="shared" si="0"/>
        <v>1704.2075571990001</v>
      </c>
      <c r="G5" s="57"/>
    </row>
    <row r="6" spans="1:7" ht="12.75">
      <c r="A6" s="55" t="s">
        <v>2</v>
      </c>
      <c r="B6" s="56">
        <f>(F118*'River-Res data'!V87)*2.723</f>
        <v>1415.15573472</v>
      </c>
      <c r="C6" s="56">
        <f>(G118*'River-Res data'!V113)*2.723</f>
        <v>19963.804114799997</v>
      </c>
      <c r="D6" s="56">
        <f>(H118*'River-Res data'!W134)*2.723</f>
        <v>4850.0186238</v>
      </c>
      <c r="E6" s="56">
        <f>(I118*'River-Res data'!W67)*2.723</f>
        <v>226.787778</v>
      </c>
      <c r="F6" s="56">
        <f t="shared" si="0"/>
        <v>21152.172071519995</v>
      </c>
      <c r="G6" s="58"/>
    </row>
    <row r="7" spans="1:7" ht="12.75">
      <c r="A7" s="55" t="s">
        <v>3</v>
      </c>
      <c r="B7" s="56">
        <f>(F119*'River-Res data'!V88)*2.723</f>
        <v>1740.8661816</v>
      </c>
      <c r="C7" s="56">
        <f>(G119*'River-Res data'!V114)*2.723</f>
        <v>27586.033339200007</v>
      </c>
      <c r="D7" s="56">
        <f>(H119*'River-Res data'!W135)*2.723</f>
        <v>34022.216481749994</v>
      </c>
      <c r="E7" s="56">
        <f>(I119*'River-Res data'!W68)*2.723</f>
        <v>1339.1278320000001</v>
      </c>
      <c r="F7" s="56">
        <f t="shared" si="0"/>
        <v>27987.771688800007</v>
      </c>
      <c r="G7" s="58"/>
    </row>
    <row r="8" spans="1:7" ht="12.75">
      <c r="A8" s="55" t="s">
        <v>4</v>
      </c>
      <c r="B8" s="56">
        <f>(F120*'River-Res data'!V89)*2.723</f>
        <v>9094.189897799999</v>
      </c>
      <c r="C8" s="56">
        <f>(G120*'River-Res data'!V115)*2.723</f>
        <v>2834.847225</v>
      </c>
      <c r="D8" s="56">
        <f>(H120*'River-Res data'!W136)*2.723</f>
        <v>56312.21523375</v>
      </c>
      <c r="E8" s="56">
        <f>(I120*'River-Res data'!W69)*2.723</f>
        <v>6479.650799999999</v>
      </c>
      <c r="F8" s="56">
        <f t="shared" si="0"/>
        <v>5449.386322799999</v>
      </c>
      <c r="G8" s="58"/>
    </row>
    <row r="9" spans="1:7" ht="12.75">
      <c r="A9" s="55" t="s">
        <v>5</v>
      </c>
      <c r="B9" s="56">
        <f>(F121*'River-Res data'!V90)*2.723</f>
        <v>3247.3849926</v>
      </c>
      <c r="C9" s="56">
        <f>(G121*'River-Res data'!V116)*2.723</f>
        <v>1750.8259448505005</v>
      </c>
      <c r="D9" s="56">
        <f>(H121*'River-Res data'!W137)*2.723</f>
        <v>43663.93687214999</v>
      </c>
      <c r="E9" s="56">
        <f>(I121*'River-Res data'!W70)*2.723</f>
        <v>6929.986530600001</v>
      </c>
      <c r="F9" s="56">
        <f t="shared" si="0"/>
        <v>-1931.7755931495012</v>
      </c>
      <c r="G9" s="58"/>
    </row>
    <row r="10" spans="1:7" ht="12.75">
      <c r="A10" s="55" t="s">
        <v>6</v>
      </c>
      <c r="B10" s="56">
        <f>(F122*'River-Res data'!V91)*2.723</f>
        <v>7344.279203625001</v>
      </c>
      <c r="C10" s="56">
        <f>(G122*'River-Res data'!V117)*2.723</f>
        <v>5407.900358552999</v>
      </c>
      <c r="D10" s="56">
        <f>(H122*'River-Res data'!W138)*2.723</f>
        <v>33629.80420098</v>
      </c>
      <c r="E10" s="56">
        <f>(I122*'River-Res data'!W71)*2.723</f>
        <v>4101.0789855</v>
      </c>
      <c r="F10" s="56">
        <f t="shared" si="0"/>
        <v>8651.100576678</v>
      </c>
      <c r="G10" s="58"/>
    </row>
    <row r="11" spans="1:7" ht="12.75">
      <c r="A11" s="55" t="s">
        <v>7</v>
      </c>
      <c r="B11" s="56">
        <f>(F123*'River-Res data'!V92)*2.723</f>
        <v>326.08842651</v>
      </c>
      <c r="C11" s="56">
        <f>(G123*'River-Res data'!V118)*2.723</f>
        <v>1500.20115147</v>
      </c>
      <c r="D11" s="56">
        <f>(H123*'River-Res data'!W139)*2.723</f>
        <v>4057.649897400001</v>
      </c>
      <c r="E11" s="56">
        <f>(I123*'River-Res data'!W72)*2.723</f>
        <v>340.181667</v>
      </c>
      <c r="F11" s="56">
        <f t="shared" si="0"/>
        <v>1486.10791098</v>
      </c>
      <c r="G11" s="58"/>
    </row>
    <row r="12" spans="1:7" ht="12.75">
      <c r="A12" s="55" t="s">
        <v>8</v>
      </c>
      <c r="B12" s="56">
        <f>(F124*'River-Res data'!V93)*2.723</f>
        <v>705.050803548</v>
      </c>
      <c r="C12" s="56">
        <f>(G124*'River-Res data'!V119)*2.723</f>
        <v>199.19526501</v>
      </c>
      <c r="D12" s="56">
        <f>(H124*'River-Res data'!W140)*2.723</f>
        <v>1853.8550924249996</v>
      </c>
      <c r="E12" s="56">
        <f>(I124*'River-Res data'!W73)*2.723</f>
        <v>65.28248181</v>
      </c>
      <c r="F12" s="56">
        <f t="shared" si="0"/>
        <v>838.9635867479999</v>
      </c>
      <c r="G12" s="58"/>
    </row>
    <row r="13" spans="1:7" ht="12.75">
      <c r="A13" s="55" t="s">
        <v>9</v>
      </c>
      <c r="B13" s="56">
        <f>(F125*'River-Res data'!V94)*2.723</f>
        <v>374.19983370000006</v>
      </c>
      <c r="C13" s="56">
        <f>(G125*'River-Res data'!V120)*2.723</f>
        <v>883.33839531</v>
      </c>
      <c r="D13" s="56">
        <f>(H125*'River-Res data'!W141)*2.723</f>
        <v>1250.0326335000002</v>
      </c>
      <c r="E13" s="56">
        <f>(I125*'River-Res data'!W74)*2.723</f>
        <v>437.37642900000003</v>
      </c>
      <c r="F13" s="56">
        <f t="shared" si="0"/>
        <v>820.1618000100001</v>
      </c>
      <c r="G13" s="58"/>
    </row>
    <row r="14" spans="1:7" ht="12.75">
      <c r="A14" s="55" t="s">
        <v>10</v>
      </c>
      <c r="B14" s="56">
        <f>(F126*'River-Res data'!V95)*2.723</f>
        <v>1132.902145872</v>
      </c>
      <c r="C14" s="56">
        <f>(G126*'River-Res data'!V121)*2.723</f>
        <v>441.74479358100007</v>
      </c>
      <c r="D14" s="56">
        <f>(H126*'River-Res data'!W142)*2.723</f>
        <v>3423.7034904800003</v>
      </c>
      <c r="E14" s="56">
        <f>(I126*'River-Res data'!W75)*2.723</f>
        <v>326.41240905</v>
      </c>
      <c r="F14" s="56">
        <f t="shared" si="0"/>
        <v>1248.234530403</v>
      </c>
      <c r="G14" s="58"/>
    </row>
    <row r="15" spans="1:7" ht="12.75">
      <c r="A15" s="59" t="s">
        <v>36</v>
      </c>
      <c r="B15" s="60">
        <f>SUM(B3:B14)</f>
        <v>28207.404852375003</v>
      </c>
      <c r="C15" s="60">
        <f>SUM(C3:C14)</f>
        <v>64348.340252563496</v>
      </c>
      <c r="D15" s="60">
        <f>SUM(D3:D14)</f>
        <v>187674.28518197496</v>
      </c>
      <c r="E15" s="60">
        <f>SUM(E3:E14)</f>
        <v>20672.926298934006</v>
      </c>
      <c r="F15" s="60">
        <f>SUM(F3:F14)</f>
        <v>71882.81880600449</v>
      </c>
      <c r="G15" s="60">
        <f>SUM(B15:C15)</f>
        <v>92555.7451049385</v>
      </c>
    </row>
    <row r="16" spans="2:7" ht="12.75">
      <c r="B16" s="51"/>
      <c r="C16" s="51"/>
      <c r="D16" s="51"/>
      <c r="E16" s="51"/>
      <c r="F16" s="51"/>
      <c r="G16" s="51"/>
    </row>
    <row r="17" spans="2:7" ht="12.75">
      <c r="B17" s="51"/>
      <c r="C17" s="51"/>
      <c r="D17" s="51"/>
      <c r="E17" s="51"/>
      <c r="F17" s="51"/>
      <c r="G17" s="51"/>
    </row>
    <row r="18" spans="2:7" ht="12.75">
      <c r="B18" s="51"/>
      <c r="C18" s="51"/>
      <c r="D18" s="51"/>
      <c r="E18" s="51"/>
      <c r="F18" s="51"/>
      <c r="G18" s="51"/>
    </row>
    <row r="19" spans="2:7" ht="12.75">
      <c r="B19" s="51"/>
      <c r="C19" s="51"/>
      <c r="D19" s="51"/>
      <c r="E19" s="51"/>
      <c r="F19" s="51"/>
      <c r="G19" s="51"/>
    </row>
    <row r="20" spans="2:7" ht="12.75">
      <c r="B20" s="51"/>
      <c r="C20" s="51"/>
      <c r="D20" s="51"/>
      <c r="E20" s="51"/>
      <c r="F20" s="51"/>
      <c r="G20" s="51"/>
    </row>
    <row r="21" spans="2:7" ht="12.75">
      <c r="B21" s="51"/>
      <c r="C21" s="51"/>
      <c r="D21" s="51"/>
      <c r="E21" s="51"/>
      <c r="F21" s="51"/>
      <c r="G21" s="51"/>
    </row>
    <row r="22" spans="2:7" ht="12.75">
      <c r="B22" s="51"/>
      <c r="C22" s="51"/>
      <c r="D22" s="51"/>
      <c r="E22" s="51"/>
      <c r="F22" s="51"/>
      <c r="G22" s="51"/>
    </row>
    <row r="23" spans="2:7" ht="12.75">
      <c r="B23" s="51"/>
      <c r="C23" s="51"/>
      <c r="D23" s="51"/>
      <c r="E23" s="51"/>
      <c r="F23" s="51"/>
      <c r="G23" s="51"/>
    </row>
    <row r="24" spans="2:7" ht="12.75">
      <c r="B24" s="51"/>
      <c r="C24" s="51"/>
      <c r="D24" s="51"/>
      <c r="E24" s="51"/>
      <c r="F24" s="51"/>
      <c r="G24" s="51"/>
    </row>
    <row r="25" spans="2:7" ht="12.75">
      <c r="B25" s="51"/>
      <c r="C25" s="51"/>
      <c r="D25" s="51"/>
      <c r="E25" s="51"/>
      <c r="F25" s="51"/>
      <c r="G25" s="51"/>
    </row>
    <row r="26" spans="2:7" ht="12.75">
      <c r="B26" s="51"/>
      <c r="C26" s="51"/>
      <c r="D26" s="51"/>
      <c r="E26" s="51"/>
      <c r="F26" s="51"/>
      <c r="G26" s="51"/>
    </row>
    <row r="27" spans="2:7" ht="12.75">
      <c r="B27" s="51"/>
      <c r="C27" s="51"/>
      <c r="D27" s="51"/>
      <c r="E27" s="51"/>
      <c r="F27" s="51"/>
      <c r="G27" s="51"/>
    </row>
    <row r="28" spans="2:7" ht="12.75">
      <c r="B28" s="51"/>
      <c r="C28" s="51"/>
      <c r="D28" s="51"/>
      <c r="E28" s="51"/>
      <c r="F28" s="51"/>
      <c r="G28" s="51"/>
    </row>
    <row r="29" spans="2:7" ht="12.75">
      <c r="B29" s="51"/>
      <c r="C29" s="51"/>
      <c r="D29" s="51"/>
      <c r="E29" s="51"/>
      <c r="F29" s="51"/>
      <c r="G29" s="51"/>
    </row>
    <row r="30" spans="2:7" ht="12.75">
      <c r="B30" s="51"/>
      <c r="C30" s="51"/>
      <c r="D30" s="51"/>
      <c r="E30" s="51"/>
      <c r="F30" s="51"/>
      <c r="G30" s="51"/>
    </row>
    <row r="31" spans="2:7" ht="12.75">
      <c r="B31" s="51"/>
      <c r="C31" s="51"/>
      <c r="D31" s="51"/>
      <c r="E31" s="51"/>
      <c r="F31" s="51"/>
      <c r="G31" s="51"/>
    </row>
    <row r="32" spans="2:7" ht="12.75">
      <c r="B32" s="51"/>
      <c r="C32" s="51"/>
      <c r="D32" s="51"/>
      <c r="E32" s="51"/>
      <c r="F32" s="51"/>
      <c r="G32" s="51"/>
    </row>
    <row r="33" spans="2:7" ht="12.75">
      <c r="B33" s="51"/>
      <c r="C33" s="51"/>
      <c r="D33" s="51"/>
      <c r="E33" s="51"/>
      <c r="F33" s="51"/>
      <c r="G33" s="51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2.75">
      <c r="A37" s="31" t="s">
        <v>134</v>
      </c>
      <c r="B37" s="31"/>
      <c r="C37" s="31"/>
      <c r="D37" s="31"/>
      <c r="E37" s="31"/>
      <c r="F37" s="31"/>
      <c r="G37" s="31"/>
    </row>
    <row r="38" spans="1:7" ht="12.75">
      <c r="A38" s="50" t="s">
        <v>13</v>
      </c>
      <c r="B38" s="50" t="s">
        <v>113</v>
      </c>
      <c r="C38" s="50" t="s">
        <v>89</v>
      </c>
      <c r="D38" s="54" t="s">
        <v>116</v>
      </c>
      <c r="E38" s="54" t="s">
        <v>11</v>
      </c>
      <c r="F38" s="54" t="s">
        <v>118</v>
      </c>
      <c r="G38" s="100" t="s">
        <v>131</v>
      </c>
    </row>
    <row r="39" spans="1:7" ht="12.75">
      <c r="A39" s="55" t="s">
        <v>88</v>
      </c>
      <c r="B39" s="56"/>
      <c r="C39" s="56">
        <v>0</v>
      </c>
      <c r="D39" s="56"/>
      <c r="E39" s="56"/>
      <c r="F39" s="56"/>
      <c r="G39" s="31"/>
    </row>
    <row r="40" spans="1:7" ht="12.75">
      <c r="A40" s="55" t="s">
        <v>0</v>
      </c>
      <c r="B40" s="56">
        <f>(F116*'River-Res data'!Y85)*2.723</f>
        <v>907.151112</v>
      </c>
      <c r="C40" s="56">
        <f>(G116*'River-Res data'!Y111)*2.72</f>
        <v>148.60887552</v>
      </c>
      <c r="D40" s="56">
        <f>(H116*'River-Res data'!Y132)*2.723</f>
        <v>100.39138972800002</v>
      </c>
      <c r="E40" s="56">
        <f>(I116*'River-Res data'!Y65)*2.723</f>
        <v>2.4190696320000002</v>
      </c>
      <c r="F40" s="56">
        <f aca="true" t="shared" si="1" ref="F40:F50">(B40+C40)-E40</f>
        <v>1053.3409178880001</v>
      </c>
      <c r="G40" s="31"/>
    </row>
    <row r="41" spans="1:7" ht="12.75">
      <c r="A41" s="55" t="s">
        <v>1</v>
      </c>
      <c r="B41" s="56">
        <f>(F117*'River-Res data'!Y86)*2.723</f>
        <v>66.9563916</v>
      </c>
      <c r="C41" s="56">
        <f>(G117*'River-Res data'!Y112)*2.72</f>
        <v>105.67454592000001</v>
      </c>
      <c r="D41" s="56">
        <f>(H117*'River-Res data'!Y133)*2.723</f>
        <v>93.404166282</v>
      </c>
      <c r="E41" s="56">
        <f>(I117*'River-Res data'!Y66)*2.723</f>
        <v>82.02157971</v>
      </c>
      <c r="F41" s="56">
        <f t="shared" si="1"/>
        <v>90.60935781000003</v>
      </c>
      <c r="G41" s="31"/>
    </row>
    <row r="42" spans="1:7" ht="12.75">
      <c r="A42" s="55" t="s">
        <v>2</v>
      </c>
      <c r="B42" s="56">
        <f>(F118*'River-Res data'!Y87)*2.723</f>
        <v>67.38836832</v>
      </c>
      <c r="C42" s="56">
        <f>(G118*'River-Res data'!Y113)*2.72</f>
        <v>13294.539648000002</v>
      </c>
      <c r="D42" s="56">
        <f>(H118*'River-Res data'!Y134)*2.723</f>
        <v>323.33457491999997</v>
      </c>
      <c r="E42" s="56">
        <f>(I118*'River-Res data'!Y67)*2.723</f>
        <v>45.3575556</v>
      </c>
      <c r="F42" s="56">
        <f t="shared" si="1"/>
        <v>13316.570460720002</v>
      </c>
      <c r="G42" s="31"/>
    </row>
    <row r="43" spans="1:7" ht="12.75">
      <c r="A43" s="55" t="s">
        <v>3</v>
      </c>
      <c r="B43" s="56">
        <f>(F119*'River-Res data'!Y88)*2.723</f>
        <v>435.2165454</v>
      </c>
      <c r="C43" s="56">
        <f>(G119*'River-Res data'!Y114)*2.72</f>
        <v>13777.820544000004</v>
      </c>
      <c r="D43" s="56">
        <f>(H119*'River-Res data'!Y135)*2.723</f>
        <v>4989.92508399</v>
      </c>
      <c r="E43" s="56">
        <f>(I119*'River-Res data'!Y68)*2.723</f>
        <v>2142.6045312</v>
      </c>
      <c r="F43" s="56">
        <f t="shared" si="1"/>
        <v>12070.432558200004</v>
      </c>
      <c r="G43" s="31"/>
    </row>
    <row r="44" spans="1:7" ht="12.75">
      <c r="A44" s="55" t="s">
        <v>4</v>
      </c>
      <c r="B44" s="56">
        <f>(F120*'River-Res data'!Y89)*2.723</f>
        <v>2598.3399707999997</v>
      </c>
      <c r="C44" s="56">
        <f>(G120*'River-Res data'!Y115)*2.72</f>
        <v>4449.852</v>
      </c>
      <c r="D44" s="56">
        <f>(H120*'River-Res data'!Y136)*2.723</f>
        <v>7508.295364499998</v>
      </c>
      <c r="E44" s="56">
        <f>(I120*'River-Res data'!Y69)*2.723</f>
        <v>3239.8253999999997</v>
      </c>
      <c r="F44" s="56">
        <f t="shared" si="1"/>
        <v>3808.3665708</v>
      </c>
      <c r="G44" s="57"/>
    </row>
    <row r="45" spans="1:7" ht="12.75">
      <c r="A45" s="55" t="s">
        <v>5</v>
      </c>
      <c r="B45" s="56">
        <f>(F121*'River-Res data'!Y90)*2.723</f>
        <v>690.0693109275</v>
      </c>
      <c r="C45" s="56">
        <f>(G121*'River-Res data'!Y116)*2.72</f>
        <v>675.0128827200001</v>
      </c>
      <c r="D45" s="56">
        <f>(H121*'River-Res data'!Y137)*2.723</f>
        <v>1455.4645624049997</v>
      </c>
      <c r="E45" s="56">
        <f>(I121*'River-Res data'!Y70)*2.723</f>
        <v>1283.330839</v>
      </c>
      <c r="F45" s="56">
        <f t="shared" si="1"/>
        <v>81.7513546475002</v>
      </c>
      <c r="G45" s="58"/>
    </row>
    <row r="46" spans="1:7" ht="12.75">
      <c r="A46" s="55" t="s">
        <v>6</v>
      </c>
      <c r="B46" s="56">
        <f>(F122*'River-Res data'!Y91)*2.723</f>
        <v>1904.0723861249999</v>
      </c>
      <c r="C46" s="56">
        <f>(G122*'River-Res data'!Y117)*2.72</f>
        <v>1294.6803940800003</v>
      </c>
      <c r="D46" s="56">
        <f>(H122*'River-Res data'!Y138)*2.723</f>
        <v>2069.526412368</v>
      </c>
      <c r="E46" s="56">
        <f>(I122*'River-Res data'!Y71)*2.723</f>
        <v>1230.32369565</v>
      </c>
      <c r="F46" s="56">
        <f t="shared" si="1"/>
        <v>1968.429084555</v>
      </c>
      <c r="G46" s="58"/>
    </row>
    <row r="47" spans="1:7" ht="12.75">
      <c r="A47" s="55" t="s">
        <v>7</v>
      </c>
      <c r="B47" s="56">
        <f>(F123*'River-Res data'!Y92)*2.723</f>
        <v>81.5221066275</v>
      </c>
      <c r="C47" s="56">
        <f>(G123*'River-Res data'!Y118)*2.72</f>
        <v>234.46674720000004</v>
      </c>
      <c r="D47" s="56">
        <f>(H123*'River-Res data'!Y139)*2.723</f>
        <v>149.39529167700002</v>
      </c>
      <c r="E47" s="56">
        <f>(I123*'River-Res data'!Y72)*2.723</f>
        <v>170.0908335</v>
      </c>
      <c r="F47" s="56">
        <f t="shared" si="1"/>
        <v>145.89802032750006</v>
      </c>
      <c r="G47" s="58"/>
    </row>
    <row r="48" spans="1:7" ht="12.75">
      <c r="A48" s="55" t="s">
        <v>8</v>
      </c>
      <c r="B48" s="56">
        <f>(F124*'River-Res data'!Y93)*2.723</f>
        <v>54.234677196</v>
      </c>
      <c r="C48" s="56">
        <f>(G124*'River-Res data'!Y119)*2.72</f>
        <v>159.18064512000004</v>
      </c>
      <c r="D48" s="56">
        <f>(H124*'River-Res data'!Y140)*2.723</f>
        <v>129.76985646974998</v>
      </c>
      <c r="E48" s="56">
        <f>(I124*'River-Res data'!Y73)*2.723</f>
        <v>39.169489086</v>
      </c>
      <c r="F48" s="56">
        <f t="shared" si="1"/>
        <v>174.24583323000004</v>
      </c>
      <c r="G48" s="58"/>
    </row>
    <row r="49" spans="1:7" ht="12.75">
      <c r="A49" s="55" t="s">
        <v>9</v>
      </c>
      <c r="B49" s="56">
        <f>(F125*'River-Res data'!Y94)*2.723</f>
        <v>53.4571191</v>
      </c>
      <c r="C49" s="56">
        <f>(G125*'River-Res data'!Y120)*2.72</f>
        <v>129.12661440000002</v>
      </c>
      <c r="D49" s="56">
        <f>(H125*'River-Res data'!Y141)*2.723</f>
        <v>75.00195801000001</v>
      </c>
      <c r="E49" s="56">
        <f>(I125*'River-Res data'!Y74)*2.723</f>
        <v>262.4258574</v>
      </c>
      <c r="F49" s="56">
        <f t="shared" si="1"/>
        <v>-79.84212389999996</v>
      </c>
      <c r="G49" s="58"/>
    </row>
    <row r="50" spans="1:7" ht="12.75">
      <c r="A50" s="55" t="s">
        <v>10</v>
      </c>
      <c r="B50" s="56">
        <f>(F126*'River-Res data'!Y95)*2.723</f>
        <v>94.408512156</v>
      </c>
      <c r="C50" s="56">
        <f>(G126*'River-Res data'!Y121)*2.72</f>
        <v>237.6005217600001</v>
      </c>
      <c r="D50" s="56">
        <f>(H126*'River-Res data'!Y142)*2.723</f>
        <v>128.38888089300002</v>
      </c>
      <c r="E50" s="56">
        <f>(I126*'River-Res data'!Y75)*2.723</f>
        <v>195.84744543</v>
      </c>
      <c r="F50" s="56">
        <f t="shared" si="1"/>
        <v>136.16158848600014</v>
      </c>
      <c r="G50" s="58"/>
    </row>
    <row r="51" spans="1:7" ht="12.75">
      <c r="A51" s="54" t="s">
        <v>36</v>
      </c>
      <c r="B51" s="61">
        <f>SUM(B39:B50)</f>
        <v>6952.816500252</v>
      </c>
      <c r="C51" s="61">
        <f>SUM(C39:C50)</f>
        <v>34506.563418720005</v>
      </c>
      <c r="D51" s="61">
        <f>SUM(D39:D50)</f>
        <v>17022.897541242746</v>
      </c>
      <c r="E51" s="61">
        <f>SUM(E39:E50)</f>
        <v>8693.416296207999</v>
      </c>
      <c r="F51" s="61">
        <f>SUM(F39:F50)</f>
        <v>32765.963622764</v>
      </c>
      <c r="G51" s="61">
        <f>SUM(B51:C51)</f>
        <v>41459.379918972</v>
      </c>
    </row>
    <row r="52" spans="2:7" ht="12.75">
      <c r="B52" s="51"/>
      <c r="C52" s="51">
        <f>SUM(B51:C51)</f>
        <v>41459.379918972</v>
      </c>
      <c r="D52" s="51"/>
      <c r="E52" s="51"/>
      <c r="F52" s="51"/>
      <c r="G52" s="51"/>
    </row>
    <row r="53" spans="2:7" ht="12.75">
      <c r="B53" s="51"/>
      <c r="C53" s="51"/>
      <c r="D53" s="51"/>
      <c r="E53" s="51"/>
      <c r="F53" s="51"/>
      <c r="G53" s="51"/>
    </row>
    <row r="54" spans="2:7" ht="12.75">
      <c r="B54" s="51"/>
      <c r="C54" s="51"/>
      <c r="D54" s="51"/>
      <c r="E54" s="51"/>
      <c r="F54" s="51"/>
      <c r="G54" s="51"/>
    </row>
    <row r="55" spans="2:7" ht="12.75">
      <c r="B55" s="51"/>
      <c r="C55" s="51"/>
      <c r="D55" s="51"/>
      <c r="E55" s="51"/>
      <c r="F55" s="51"/>
      <c r="G55" s="51"/>
    </row>
    <row r="56" spans="2:7" ht="12.75">
      <c r="B56" s="51"/>
      <c r="C56" s="51"/>
      <c r="D56" s="51"/>
      <c r="E56" s="51"/>
      <c r="F56" s="51"/>
      <c r="G56" s="51"/>
    </row>
    <row r="57" spans="2:7" ht="12.75">
      <c r="B57" s="51"/>
      <c r="C57" s="51"/>
      <c r="D57" s="51"/>
      <c r="E57" s="51"/>
      <c r="F57" s="51"/>
      <c r="G57" s="51"/>
    </row>
    <row r="58" spans="2:7" ht="12.75">
      <c r="B58" s="51"/>
      <c r="C58" s="51"/>
      <c r="D58" s="51"/>
      <c r="E58" s="51"/>
      <c r="F58" s="51"/>
      <c r="G58" s="51"/>
    </row>
    <row r="59" spans="2:7" ht="12.75">
      <c r="B59" s="51"/>
      <c r="C59" s="51"/>
      <c r="D59" s="51"/>
      <c r="E59" s="51"/>
      <c r="F59" s="51"/>
      <c r="G59" s="51"/>
    </row>
    <row r="60" spans="2:7" ht="12" customHeight="1">
      <c r="B60" s="51"/>
      <c r="C60" s="51"/>
      <c r="D60" s="51"/>
      <c r="E60" s="51"/>
      <c r="F60" s="51"/>
      <c r="G60" s="51"/>
    </row>
    <row r="61" spans="2:7" ht="12.75">
      <c r="B61" s="51"/>
      <c r="C61" s="51"/>
      <c r="D61" s="51"/>
      <c r="E61" s="51"/>
      <c r="F61" s="51"/>
      <c r="G61" s="51"/>
    </row>
    <row r="62" spans="2:7" ht="12.75">
      <c r="B62" s="51"/>
      <c r="C62" s="51"/>
      <c r="D62" s="51"/>
      <c r="E62" s="51"/>
      <c r="F62" s="51"/>
      <c r="G62" s="51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  <row r="68" spans="2:7" ht="12.75">
      <c r="B68" s="51"/>
      <c r="C68" s="51"/>
      <c r="D68" s="51"/>
      <c r="E68" s="51"/>
      <c r="F68" s="51"/>
      <c r="G68" s="51"/>
    </row>
    <row r="69" spans="2:7" ht="12.75">
      <c r="B69" s="51"/>
      <c r="C69" s="51"/>
      <c r="D69" s="51"/>
      <c r="E69" s="51"/>
      <c r="F69" s="51"/>
      <c r="G69" s="51"/>
    </row>
    <row r="70" spans="2:7" ht="12" customHeight="1">
      <c r="B70" s="51"/>
      <c r="C70" s="51"/>
      <c r="D70" s="51"/>
      <c r="E70" s="51"/>
      <c r="F70" s="51"/>
      <c r="G70" s="51"/>
    </row>
    <row r="71" spans="2:7" ht="12" customHeight="1">
      <c r="B71" s="51"/>
      <c r="C71" s="51"/>
      <c r="D71" s="51"/>
      <c r="E71" s="51"/>
      <c r="F71" s="51"/>
      <c r="G71" s="51"/>
    </row>
    <row r="72" spans="2:7" ht="12.75">
      <c r="B72" s="51"/>
      <c r="C72" s="51"/>
      <c r="D72" s="51"/>
      <c r="E72" s="51"/>
      <c r="F72" s="51"/>
      <c r="G72" s="51"/>
    </row>
    <row r="73" spans="2:7" ht="12.75">
      <c r="B73" s="51"/>
      <c r="C73" s="51"/>
      <c r="D73" s="51"/>
      <c r="E73" s="51"/>
      <c r="F73" s="51"/>
      <c r="G73" s="51"/>
    </row>
    <row r="74" spans="1:7" ht="12.75">
      <c r="A74" s="31" t="s">
        <v>117</v>
      </c>
      <c r="B74" s="49" t="s">
        <v>113</v>
      </c>
      <c r="C74" s="49" t="s">
        <v>89</v>
      </c>
      <c r="D74" s="31" t="s">
        <v>116</v>
      </c>
      <c r="E74" s="31" t="s">
        <v>11</v>
      </c>
      <c r="F74" s="31" t="s">
        <v>118</v>
      </c>
      <c r="G74" s="58" t="s">
        <v>131</v>
      </c>
    </row>
    <row r="75" spans="1:7" ht="12.75">
      <c r="A75" s="55" t="s">
        <v>88</v>
      </c>
      <c r="B75" s="56"/>
      <c r="C75" s="56"/>
      <c r="D75" s="56"/>
      <c r="E75" s="56"/>
      <c r="F75" s="56"/>
      <c r="G75" s="58"/>
    </row>
    <row r="76" spans="1:7" ht="12.75">
      <c r="A76" s="55" t="s">
        <v>0</v>
      </c>
      <c r="B76" s="56">
        <f>(F116*'River-Res data'!Z85)*2.72</f>
        <v>528588.4800000001</v>
      </c>
      <c r="C76" s="56">
        <f>(G116*'River-Res data'!Z111)*2.72</f>
        <v>183284.279808</v>
      </c>
      <c r="D76" s="56">
        <f>(H116*'River-Res data'!Z132)*2.723</f>
        <v>50195.694864</v>
      </c>
      <c r="E76" s="56">
        <f>(I116*'River-Res data'!Z65)*2.723</f>
        <v>1209.5348159999999</v>
      </c>
      <c r="F76" s="56">
        <f aca="true" t="shared" si="2" ref="F76:F86">(B76+C76)-E76</f>
        <v>710663.224992</v>
      </c>
      <c r="G76" s="58"/>
    </row>
    <row r="77" spans="1:7" ht="12.75">
      <c r="A77" s="55" t="s">
        <v>1</v>
      </c>
      <c r="B77" s="56">
        <f>(F117*'River-Res data'!Z86)*2.72</f>
        <v>33441.312000000005</v>
      </c>
      <c r="C77" s="56">
        <f>(G117*'River-Res data'!Z112)*2.72</f>
        <v>132093.1824</v>
      </c>
      <c r="D77" s="56">
        <f>(H117*'River-Res data'!Z133)*2.723</f>
        <v>69385.9520952</v>
      </c>
      <c r="E77" s="56">
        <f>(I117*'River-Res data'!Z66)*2.723</f>
        <v>45111.8688405</v>
      </c>
      <c r="F77" s="56">
        <f t="shared" si="2"/>
        <v>120422.6255595</v>
      </c>
      <c r="G77" s="58"/>
    </row>
    <row r="78" spans="1:7" ht="12.75">
      <c r="A78" s="55" t="s">
        <v>2</v>
      </c>
      <c r="B78" s="56">
        <f>(F118*'River-Res data'!Z87)*2.72</f>
        <v>148091.07456</v>
      </c>
      <c r="C78" s="56">
        <f>(G118*'River-Res data'!Z113)*2.72</f>
        <v>29145721.536000006</v>
      </c>
      <c r="D78" s="56">
        <f>(H118*'River-Res data'!Z134)*2.723</f>
        <v>194000.744952</v>
      </c>
      <c r="E78" s="56">
        <f>(I118*'River-Res data'!Z67)*2.723</f>
        <v>45357.5556</v>
      </c>
      <c r="F78" s="56">
        <f t="shared" si="2"/>
        <v>29248455.05496001</v>
      </c>
      <c r="G78" s="31"/>
    </row>
    <row r="79" spans="1:7" ht="12.75">
      <c r="A79" s="55" t="s">
        <v>3</v>
      </c>
      <c r="B79" s="56">
        <f>(F119*'River-Res data'!Z88)*2.72</f>
        <v>391263.35040000005</v>
      </c>
      <c r="C79" s="56">
        <f>(G119*'River-Res data'!Z114)*2.72</f>
        <v>17360053.885440003</v>
      </c>
      <c r="D79" s="56">
        <f>(H119*'River-Res data'!Z135)*2.723</f>
        <v>2721777.3185400004</v>
      </c>
      <c r="E79" s="56">
        <f>(I119*'River-Res data'!Z68)*2.723</f>
        <v>1553388.2851200001</v>
      </c>
      <c r="F79" s="56">
        <f t="shared" si="2"/>
        <v>16197928.950720005</v>
      </c>
      <c r="G79" s="165"/>
    </row>
    <row r="80" spans="1:7" ht="12.75">
      <c r="A80" s="55" t="s">
        <v>4</v>
      </c>
      <c r="B80" s="56">
        <f>(F120*'River-Res data'!Z89)*2.72</f>
        <v>648869.328</v>
      </c>
      <c r="C80" s="56">
        <f>(G120*'River-Res data'!Z115)*2.72</f>
        <v>262945.80000000005</v>
      </c>
      <c r="D80" s="56">
        <f>(H120*'River-Res data'!Z136)*2.723</f>
        <v>2440195.9934624997</v>
      </c>
      <c r="E80" s="56">
        <f>(I120*'River-Res data'!Z69)*2.723</f>
        <v>1457921.43</v>
      </c>
      <c r="F80" s="56">
        <f t="shared" si="2"/>
        <v>-546106.3019999999</v>
      </c>
      <c r="G80" s="31"/>
    </row>
    <row r="81" spans="1:7" ht="12.75">
      <c r="A81" s="55" t="s">
        <v>5</v>
      </c>
      <c r="B81" s="56">
        <f>(F121*'River-Res data'!Z90)*2.72</f>
        <v>405475.908</v>
      </c>
      <c r="C81" s="56">
        <f>(G121*'River-Res data'!Z116)*2.72</f>
        <v>650466.9597120002</v>
      </c>
      <c r="D81" s="56">
        <f>(H121*'River-Res data'!Z137)*2.723</f>
        <v>684068.3443303499</v>
      </c>
      <c r="E81" s="56">
        <f>(I121*'River-Res data'!Z70)*2.723</f>
        <v>1026664.6712</v>
      </c>
      <c r="F81" s="56">
        <f t="shared" si="2"/>
        <v>29278.19651200017</v>
      </c>
      <c r="G81" s="31"/>
    </row>
    <row r="82" spans="1:7" ht="12.75">
      <c r="A82" s="55" t="s">
        <v>6</v>
      </c>
      <c r="B82" s="56">
        <f>(F122*'River-Res data'!Z91)*2.72</f>
        <v>815131.9800000001</v>
      </c>
      <c r="C82" s="56">
        <f>(G122*'River-Res data'!Z117)*2.72</f>
        <v>1901840.8547520002</v>
      </c>
      <c r="D82" s="56">
        <f>(H122*'River-Res data'!Z138)*2.723</f>
        <v>1733228.3703581998</v>
      </c>
      <c r="E82" s="56">
        <f>(I122*'River-Res data'!Z71)*2.723</f>
        <v>615161.8478250001</v>
      </c>
      <c r="F82" s="56">
        <f t="shared" si="2"/>
        <v>2101810.9869270003</v>
      </c>
      <c r="G82" s="165"/>
    </row>
    <row r="83" spans="1:7" ht="12.75">
      <c r="A83" s="55" t="s">
        <v>7</v>
      </c>
      <c r="B83" s="56">
        <f>(F123*'River-Res data'!Z92)*2.72</f>
        <v>59717.01384000001</v>
      </c>
      <c r="C83" s="56">
        <f>(G123*'River-Res data'!Z118)*2.72</f>
        <v>309903.87456</v>
      </c>
      <c r="D83" s="56">
        <f>(H123*'River-Res data'!Z139)*2.723</f>
        <v>95908.08848400002</v>
      </c>
      <c r="E83" s="56">
        <f>(I123*'River-Res data'!Z72)*2.723</f>
        <v>68036.33339999999</v>
      </c>
      <c r="F83" s="56">
        <f t="shared" si="2"/>
        <v>301584.55500000005</v>
      </c>
      <c r="G83" s="31"/>
    </row>
    <row r="84" spans="1:7" ht="12.75">
      <c r="A84" s="55" t="s">
        <v>8</v>
      </c>
      <c r="B84" s="56">
        <f>(F124*'River-Res data'!Z93)*2.72</f>
        <v>54174.925440000006</v>
      </c>
      <c r="C84" s="56">
        <f>(G124*'River-Res data'!Z119)*2.72</f>
        <v>183057.74188800002</v>
      </c>
      <c r="D84" s="56">
        <f>(H124*'River-Res data'!Z140)*2.723</f>
        <v>85277.33425155</v>
      </c>
      <c r="E84" s="56">
        <f>(I124*'River-Res data'!Z73)*2.723</f>
        <v>31335.5912688</v>
      </c>
      <c r="F84" s="56">
        <f t="shared" si="2"/>
        <v>205897.07605920002</v>
      </c>
      <c r="G84" s="57"/>
    </row>
    <row r="85" spans="1:7" ht="12.75">
      <c r="A85" s="55" t="s">
        <v>9</v>
      </c>
      <c r="B85" s="56">
        <f>(F125*'River-Res data'!Z94)*2.72</f>
        <v>26699.11200000001</v>
      </c>
      <c r="C85" s="56">
        <f>(G125*'River-Res data'!Z120)*2.72</f>
        <v>111909.73248000002</v>
      </c>
      <c r="D85" s="56">
        <f>(H125*'River-Res data'!Z141)*2.723</f>
        <v>37500.97900500001</v>
      </c>
      <c r="E85" s="56">
        <f>(I125*'River-Res data'!Z74)*2.723</f>
        <v>43737.6429</v>
      </c>
      <c r="F85" s="56">
        <f t="shared" si="2"/>
        <v>94871.20158000002</v>
      </c>
      <c r="G85" s="58"/>
    </row>
    <row r="86" spans="1:7" ht="12.75">
      <c r="A86" s="55" t="s">
        <v>10</v>
      </c>
      <c r="B86" s="56">
        <f>(F126*'River-Res data'!Z95)*2.72</f>
        <v>47152.24992000001</v>
      </c>
      <c r="C86" s="56">
        <f>(G126*'River-Res data'!Z121)*2.72</f>
        <v>495566.80252800015</v>
      </c>
      <c r="D86" s="56">
        <f>(H126*'River-Res data'!Z142)*2.723</f>
        <v>64194.440446500004</v>
      </c>
      <c r="E86" s="56">
        <f>(I126*'River-Res data'!Z75)*2.723</f>
        <v>32641.240905</v>
      </c>
      <c r="F86" s="56">
        <f t="shared" si="2"/>
        <v>510077.81154300016</v>
      </c>
      <c r="G86" s="58"/>
    </row>
    <row r="87" spans="2:7" ht="12.75">
      <c r="B87" s="51">
        <f>SUM(B75:B86)</f>
        <v>3158604.73416</v>
      </c>
      <c r="C87" s="51">
        <f>SUM(C75:C86)</f>
        <v>50736844.649568</v>
      </c>
      <c r="D87" s="51">
        <f>SUM(D75:D86)</f>
        <v>8175733.260789299</v>
      </c>
      <c r="E87" s="51">
        <f>SUM(E75:E86)</f>
        <v>4920566.0018753</v>
      </c>
      <c r="F87" s="51">
        <f>SUM(F75:F86)</f>
        <v>48974883.381852716</v>
      </c>
      <c r="G87" s="97">
        <f>SUM(B87:C87)</f>
        <v>53895449.383728</v>
      </c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3:7" ht="12.75">
      <c r="C95" s="4"/>
      <c r="E95" s="4"/>
      <c r="G95" s="4"/>
    </row>
    <row r="96" spans="2:7" ht="12.75">
      <c r="B96" s="4"/>
      <c r="C96" s="4"/>
      <c r="D96" s="4"/>
      <c r="E96" s="4"/>
      <c r="F96" s="4"/>
      <c r="G96" s="4"/>
    </row>
    <row r="97" spans="3:7" ht="12.75">
      <c r="C97" s="4"/>
      <c r="E97" s="4"/>
      <c r="F97" s="13"/>
      <c r="G97" s="4"/>
    </row>
    <row r="98" spans="2:3" ht="12.75">
      <c r="B98" s="14"/>
      <c r="C98" s="14"/>
    </row>
    <row r="99" spans="1:10" ht="12.75">
      <c r="A99" s="8">
        <v>1999</v>
      </c>
      <c r="B99" s="8" t="s">
        <v>14</v>
      </c>
      <c r="C99" s="8" t="s">
        <v>18</v>
      </c>
      <c r="D99" s="8" t="s">
        <v>94</v>
      </c>
      <c r="E99" s="8"/>
      <c r="F99" s="9"/>
      <c r="G99" s="9"/>
      <c r="J99"/>
    </row>
    <row r="100" spans="2:10" ht="12.75">
      <c r="B100" s="10" t="s">
        <v>91</v>
      </c>
      <c r="C100" s="10" t="s">
        <v>90</v>
      </c>
      <c r="D100" s="10" t="s">
        <v>89</v>
      </c>
      <c r="J100"/>
    </row>
    <row r="101" spans="2:10" ht="12.75">
      <c r="B101" s="10" t="s">
        <v>11</v>
      </c>
      <c r="C101" s="10" t="s">
        <v>92</v>
      </c>
      <c r="D101" s="10" t="s">
        <v>93</v>
      </c>
      <c r="J101"/>
    </row>
    <row r="102" spans="1:10" ht="12.75">
      <c r="A102" s="10" t="s">
        <v>88</v>
      </c>
      <c r="B102" s="26">
        <v>2</v>
      </c>
      <c r="C102" s="26">
        <v>38</v>
      </c>
      <c r="D102" s="26">
        <v>13.4</v>
      </c>
      <c r="J102"/>
    </row>
    <row r="103" spans="1:10" ht="12.75">
      <c r="A103" s="10" t="s">
        <v>0</v>
      </c>
      <c r="B103" s="26">
        <v>1.6</v>
      </c>
      <c r="C103" s="26">
        <v>50</v>
      </c>
      <c r="D103" s="26">
        <v>16.4</v>
      </c>
      <c r="E103" s="2"/>
      <c r="F103" s="2"/>
      <c r="G103" s="2"/>
      <c r="J103"/>
    </row>
    <row r="104" spans="1:10" ht="12.75">
      <c r="A104" s="10" t="s">
        <v>1</v>
      </c>
      <c r="B104" s="26">
        <v>49</v>
      </c>
      <c r="C104" s="26">
        <v>40</v>
      </c>
      <c r="D104" s="26">
        <v>15.8</v>
      </c>
      <c r="E104" s="2"/>
      <c r="F104" s="2"/>
      <c r="G104" s="2"/>
      <c r="J104"/>
    </row>
    <row r="105" spans="1:10" ht="12.75">
      <c r="A105" s="10" t="s">
        <v>2</v>
      </c>
      <c r="B105" s="26">
        <v>28</v>
      </c>
      <c r="C105" s="26">
        <v>41.6</v>
      </c>
      <c r="D105" s="26">
        <v>158</v>
      </c>
      <c r="E105" s="4"/>
      <c r="F105" s="4"/>
      <c r="G105" s="4"/>
      <c r="J105"/>
    </row>
    <row r="106" spans="1:10" ht="12.75">
      <c r="A106" s="10" t="s">
        <v>3</v>
      </c>
      <c r="B106" s="26">
        <v>160</v>
      </c>
      <c r="C106" s="26">
        <v>130</v>
      </c>
      <c r="D106" s="26">
        <v>412</v>
      </c>
      <c r="E106" s="4"/>
      <c r="F106" s="4"/>
      <c r="G106" s="4"/>
      <c r="J106"/>
    </row>
    <row r="107" spans="1:10" ht="12.75">
      <c r="A107" s="10" t="s">
        <v>4</v>
      </c>
      <c r="B107" s="26">
        <v>500</v>
      </c>
      <c r="C107" s="26">
        <v>802</v>
      </c>
      <c r="D107" s="26">
        <v>125</v>
      </c>
      <c r="E107" s="4"/>
      <c r="F107" s="4"/>
      <c r="G107" s="4"/>
      <c r="J107"/>
    </row>
    <row r="108" spans="1:10" ht="12.75">
      <c r="A108" s="10" t="s">
        <v>5</v>
      </c>
      <c r="B108" s="26">
        <v>460</v>
      </c>
      <c r="C108" s="26">
        <v>485</v>
      </c>
      <c r="D108" s="26">
        <v>36.7</v>
      </c>
      <c r="E108" s="4"/>
      <c r="F108" s="4"/>
      <c r="G108" s="4"/>
      <c r="J108"/>
    </row>
    <row r="109" spans="1:10" ht="12.75">
      <c r="A109" s="10" t="s">
        <v>6</v>
      </c>
      <c r="B109" s="26">
        <v>490</v>
      </c>
      <c r="C109" s="26">
        <v>487.5</v>
      </c>
      <c r="D109" s="26">
        <v>53.4</v>
      </c>
      <c r="E109" s="4"/>
      <c r="F109" s="4"/>
      <c r="G109" s="4"/>
      <c r="J109"/>
    </row>
    <row r="110" spans="1:10" ht="12.75">
      <c r="A110" s="10" t="s">
        <v>7</v>
      </c>
      <c r="B110" s="26">
        <v>42</v>
      </c>
      <c r="C110" s="26">
        <v>67.1</v>
      </c>
      <c r="D110" s="26">
        <v>12.6</v>
      </c>
      <c r="E110" s="171" t="s">
        <v>132</v>
      </c>
      <c r="F110" s="171"/>
      <c r="G110" s="171"/>
      <c r="H110" s="171"/>
      <c r="I110" s="171"/>
      <c r="J110" s="171"/>
    </row>
    <row r="111" spans="1:10" ht="12.75">
      <c r="A111" s="10" t="s">
        <v>8</v>
      </c>
      <c r="B111" s="26">
        <v>7.8</v>
      </c>
      <c r="C111" s="26">
        <v>32.4</v>
      </c>
      <c r="D111" s="26">
        <v>11.9</v>
      </c>
      <c r="E111" s="4"/>
      <c r="F111" s="4"/>
      <c r="G111" s="4"/>
      <c r="J111"/>
    </row>
    <row r="112" spans="1:10" ht="12.75" customHeight="1">
      <c r="A112" s="10" t="s">
        <v>9</v>
      </c>
      <c r="B112" s="26">
        <v>54</v>
      </c>
      <c r="C112" s="26">
        <v>33</v>
      </c>
      <c r="D112" s="26">
        <v>13.3</v>
      </c>
      <c r="E112" s="173">
        <v>1999</v>
      </c>
      <c r="F112" s="175" t="s">
        <v>97</v>
      </c>
      <c r="G112" s="175" t="s">
        <v>98</v>
      </c>
      <c r="H112" s="175" t="s">
        <v>99</v>
      </c>
      <c r="I112" s="172" t="s">
        <v>101</v>
      </c>
      <c r="J112" s="176" t="s">
        <v>102</v>
      </c>
    </row>
    <row r="113" spans="1:10" ht="12.75">
      <c r="A113" s="10" t="s">
        <v>10</v>
      </c>
      <c r="B113" s="26">
        <v>39</v>
      </c>
      <c r="C113" s="26">
        <v>56.4</v>
      </c>
      <c r="D113" s="26">
        <v>20.3</v>
      </c>
      <c r="E113" s="173"/>
      <c r="F113" s="175"/>
      <c r="G113" s="175"/>
      <c r="H113" s="175"/>
      <c r="I113" s="172"/>
      <c r="J113" s="176"/>
    </row>
    <row r="114" spans="2:10" ht="12.75">
      <c r="B114" s="9" t="s">
        <v>95</v>
      </c>
      <c r="C114" s="9" t="s">
        <v>95</v>
      </c>
      <c r="D114" s="9" t="s">
        <v>95</v>
      </c>
      <c r="E114" s="173"/>
      <c r="F114" s="174" t="s">
        <v>96</v>
      </c>
      <c r="G114" s="174"/>
      <c r="H114" s="174"/>
      <c r="I114" s="174"/>
      <c r="J114" s="174"/>
    </row>
    <row r="115" spans="1:10" ht="12.75">
      <c r="A115" s="10" t="s">
        <v>88</v>
      </c>
      <c r="B115" s="26">
        <f aca="true" t="shared" si="3" ref="B115:D126">+B102*1.983</f>
        <v>3.966</v>
      </c>
      <c r="C115" s="26">
        <f t="shared" si="3"/>
        <v>75.354</v>
      </c>
      <c r="D115" s="26">
        <f t="shared" si="3"/>
        <v>26.572200000000002</v>
      </c>
      <c r="E115" s="30" t="s">
        <v>88</v>
      </c>
      <c r="F115" s="28">
        <f>+C115*31</f>
        <v>2335.974</v>
      </c>
      <c r="G115" s="28">
        <f>+D115*31</f>
        <v>823.7382000000001</v>
      </c>
      <c r="H115" s="28">
        <f aca="true" t="shared" si="4" ref="H115:H126">SUM(F115:G115)</f>
        <v>3159.7122000000004</v>
      </c>
      <c r="I115" s="29">
        <f>+B115*28</f>
        <v>111.048</v>
      </c>
      <c r="J115" s="33">
        <f>H115-I115</f>
        <v>3048.6642</v>
      </c>
    </row>
    <row r="116" spans="1:10" ht="12.75">
      <c r="A116" s="10" t="s">
        <v>0</v>
      </c>
      <c r="B116" s="26">
        <f t="shared" si="3"/>
        <v>3.1728000000000005</v>
      </c>
      <c r="C116" s="26">
        <f t="shared" si="3"/>
        <v>99.15</v>
      </c>
      <c r="D116" s="26">
        <f t="shared" si="3"/>
        <v>32.5212</v>
      </c>
      <c r="E116" s="30" t="s">
        <v>0</v>
      </c>
      <c r="F116" s="28">
        <f>+C116*28</f>
        <v>2776.2000000000003</v>
      </c>
      <c r="G116" s="28">
        <f>+D116*28</f>
        <v>910.5936</v>
      </c>
      <c r="H116" s="28">
        <f t="shared" si="4"/>
        <v>3686.7936000000004</v>
      </c>
      <c r="I116" s="29">
        <f>+B116*28</f>
        <v>88.83840000000001</v>
      </c>
      <c r="J116" s="33">
        <f aca="true" t="shared" si="5" ref="J116:J127">H116-I116</f>
        <v>3597.9552000000003</v>
      </c>
    </row>
    <row r="117" spans="1:10" ht="12.75">
      <c r="A117" s="10" t="s">
        <v>1</v>
      </c>
      <c r="B117" s="26">
        <f t="shared" si="3"/>
        <v>97.167</v>
      </c>
      <c r="C117" s="26">
        <f t="shared" si="3"/>
        <v>79.32000000000001</v>
      </c>
      <c r="D117" s="26">
        <f t="shared" si="3"/>
        <v>31.331400000000002</v>
      </c>
      <c r="E117" s="30" t="s">
        <v>1</v>
      </c>
      <c r="F117" s="28">
        <f>+C117*31</f>
        <v>2458.92</v>
      </c>
      <c r="G117" s="28">
        <f>+D117*31</f>
        <v>971.2734</v>
      </c>
      <c r="H117" s="28">
        <f t="shared" si="4"/>
        <v>3430.1934</v>
      </c>
      <c r="I117" s="29">
        <f>+B117*31</f>
        <v>3012.177</v>
      </c>
      <c r="J117" s="33">
        <f t="shared" si="5"/>
        <v>418.0164</v>
      </c>
    </row>
    <row r="118" spans="1:10" ht="12.75">
      <c r="A118" s="10" t="s">
        <v>2</v>
      </c>
      <c r="B118" s="26">
        <f t="shared" si="3"/>
        <v>55.524</v>
      </c>
      <c r="C118" s="26">
        <f t="shared" si="3"/>
        <v>82.4928</v>
      </c>
      <c r="D118" s="26">
        <f t="shared" si="3"/>
        <v>313.314</v>
      </c>
      <c r="E118" s="30" t="s">
        <v>2</v>
      </c>
      <c r="F118" s="28">
        <f>+C118*30</f>
        <v>2474.784</v>
      </c>
      <c r="G118" s="28">
        <f>+D118*30</f>
        <v>9399.42</v>
      </c>
      <c r="H118" s="28">
        <f t="shared" si="4"/>
        <v>11874.204</v>
      </c>
      <c r="I118" s="29">
        <f>+B118*30</f>
        <v>1665.72</v>
      </c>
      <c r="J118" s="33">
        <f t="shared" si="5"/>
        <v>10208.484</v>
      </c>
    </row>
    <row r="119" spans="1:10" ht="12.75">
      <c r="A119" s="10" t="s">
        <v>3</v>
      </c>
      <c r="B119" s="26">
        <f t="shared" si="3"/>
        <v>317.28000000000003</v>
      </c>
      <c r="C119" s="26">
        <f t="shared" si="3"/>
        <v>257.79</v>
      </c>
      <c r="D119" s="26">
        <f t="shared" si="3"/>
        <v>816.9960000000001</v>
      </c>
      <c r="E119" s="30" t="s">
        <v>3</v>
      </c>
      <c r="F119" s="28">
        <f>+C119*31</f>
        <v>7991.490000000001</v>
      </c>
      <c r="G119" s="28">
        <f>+D119*31</f>
        <v>25326.876000000004</v>
      </c>
      <c r="H119" s="28">
        <f t="shared" si="4"/>
        <v>33318.366</v>
      </c>
      <c r="I119" s="29">
        <f>+B119*31</f>
        <v>9835.68</v>
      </c>
      <c r="J119" s="33">
        <f t="shared" si="5"/>
        <v>23482.686</v>
      </c>
    </row>
    <row r="120" spans="1:10" ht="12.75">
      <c r="A120" s="10" t="s">
        <v>4</v>
      </c>
      <c r="B120" s="26">
        <f t="shared" si="3"/>
        <v>991.5</v>
      </c>
      <c r="C120" s="26">
        <f t="shared" si="3"/>
        <v>1590.366</v>
      </c>
      <c r="D120" s="26">
        <f t="shared" si="3"/>
        <v>247.875</v>
      </c>
      <c r="E120" s="30" t="s">
        <v>4</v>
      </c>
      <c r="F120" s="28">
        <f>+C120*30</f>
        <v>47710.979999999996</v>
      </c>
      <c r="G120" s="28">
        <f>+D120*30</f>
        <v>7436.25</v>
      </c>
      <c r="H120" s="28">
        <f t="shared" si="4"/>
        <v>55147.229999999996</v>
      </c>
      <c r="I120" s="29">
        <f>+B120*30</f>
        <v>29745</v>
      </c>
      <c r="J120" s="33">
        <f t="shared" si="5"/>
        <v>25402.229999999996</v>
      </c>
    </row>
    <row r="121" spans="1:10" ht="12.75">
      <c r="A121" s="10" t="s">
        <v>5</v>
      </c>
      <c r="B121" s="26">
        <f t="shared" si="3"/>
        <v>912.1800000000001</v>
      </c>
      <c r="C121" s="26">
        <f t="shared" si="3"/>
        <v>961.755</v>
      </c>
      <c r="D121" s="26">
        <f t="shared" si="3"/>
        <v>72.77610000000001</v>
      </c>
      <c r="E121" s="30" t="s">
        <v>5</v>
      </c>
      <c r="F121" s="28">
        <f>+C121*31</f>
        <v>29814.405</v>
      </c>
      <c r="G121" s="28">
        <f>+D121*31</f>
        <v>2256.0591000000004</v>
      </c>
      <c r="H121" s="28">
        <f t="shared" si="4"/>
        <v>32070.464099999997</v>
      </c>
      <c r="I121" s="29">
        <f>+B121*31</f>
        <v>28277.58</v>
      </c>
      <c r="J121" s="33">
        <f t="shared" si="5"/>
        <v>3792.8840999999957</v>
      </c>
    </row>
    <row r="122" spans="1:10" ht="12.75">
      <c r="A122" s="10" t="s">
        <v>6</v>
      </c>
      <c r="B122" s="26">
        <f t="shared" si="3"/>
        <v>971.6700000000001</v>
      </c>
      <c r="C122" s="26">
        <f t="shared" si="3"/>
        <v>966.7125000000001</v>
      </c>
      <c r="D122" s="26">
        <f t="shared" si="3"/>
        <v>105.8922</v>
      </c>
      <c r="E122" s="30" t="s">
        <v>6</v>
      </c>
      <c r="F122" s="28">
        <f>+C122*31</f>
        <v>29968.0875</v>
      </c>
      <c r="G122" s="28">
        <f>+D122*31</f>
        <v>3282.6582</v>
      </c>
      <c r="H122" s="28">
        <f t="shared" si="4"/>
        <v>33250.7457</v>
      </c>
      <c r="I122" s="29">
        <f>+B122*31</f>
        <v>30121.770000000004</v>
      </c>
      <c r="J122" s="33">
        <f t="shared" si="5"/>
        <v>3128.9756999999954</v>
      </c>
    </row>
    <row r="123" spans="1:10" ht="12.75">
      <c r="A123" s="10" t="s">
        <v>7</v>
      </c>
      <c r="B123" s="26">
        <f t="shared" si="3"/>
        <v>83.286</v>
      </c>
      <c r="C123" s="26">
        <f t="shared" si="3"/>
        <v>133.0593</v>
      </c>
      <c r="D123" s="26">
        <f t="shared" si="3"/>
        <v>24.9858</v>
      </c>
      <c r="E123" s="30" t="s">
        <v>7</v>
      </c>
      <c r="F123" s="28">
        <f>+C123*30</f>
        <v>3991.7790000000005</v>
      </c>
      <c r="G123" s="28">
        <f>+D123*30</f>
        <v>749.5740000000001</v>
      </c>
      <c r="H123" s="28">
        <f t="shared" si="4"/>
        <v>4741.353000000001</v>
      </c>
      <c r="I123" s="29">
        <f>+B123*30</f>
        <v>2498.58</v>
      </c>
      <c r="J123" s="33">
        <f t="shared" si="5"/>
        <v>2242.773000000001</v>
      </c>
    </row>
    <row r="124" spans="1:10" ht="12.75">
      <c r="A124" s="10" t="s">
        <v>8</v>
      </c>
      <c r="B124" s="26">
        <f t="shared" si="3"/>
        <v>15.4674</v>
      </c>
      <c r="C124" s="26">
        <f t="shared" si="3"/>
        <v>64.2492</v>
      </c>
      <c r="D124" s="26">
        <f t="shared" si="3"/>
        <v>23.597700000000003</v>
      </c>
      <c r="E124" s="30" t="s">
        <v>8</v>
      </c>
      <c r="F124" s="28">
        <f>+C124*31</f>
        <v>1991.7252</v>
      </c>
      <c r="G124" s="28">
        <f>+D124*31</f>
        <v>731.5287000000001</v>
      </c>
      <c r="H124" s="28">
        <f t="shared" si="4"/>
        <v>2723.2539</v>
      </c>
      <c r="I124" s="29">
        <f>+B124*31</f>
        <v>479.4894</v>
      </c>
      <c r="J124" s="33">
        <f t="shared" si="5"/>
        <v>2243.7645</v>
      </c>
    </row>
    <row r="125" spans="1:10" ht="12.75">
      <c r="A125" s="10" t="s">
        <v>9</v>
      </c>
      <c r="B125" s="26">
        <f t="shared" si="3"/>
        <v>107.08200000000001</v>
      </c>
      <c r="C125" s="26">
        <f t="shared" si="3"/>
        <v>65.43900000000001</v>
      </c>
      <c r="D125" s="26">
        <f t="shared" si="3"/>
        <v>26.373900000000003</v>
      </c>
      <c r="E125" s="30" t="s">
        <v>9</v>
      </c>
      <c r="F125" s="28">
        <f>+C125*30</f>
        <v>1963.1700000000003</v>
      </c>
      <c r="G125" s="28">
        <f>+D125*30</f>
        <v>791.2170000000001</v>
      </c>
      <c r="H125" s="28">
        <f t="shared" si="4"/>
        <v>2754.3870000000006</v>
      </c>
      <c r="I125" s="29">
        <f>+B125*30</f>
        <v>3212.46</v>
      </c>
      <c r="J125" s="33">
        <f t="shared" si="5"/>
        <v>-458.0729999999994</v>
      </c>
    </row>
    <row r="126" spans="1:10" ht="12.75">
      <c r="A126" s="10" t="s">
        <v>10</v>
      </c>
      <c r="B126" s="26">
        <f t="shared" si="3"/>
        <v>77.337</v>
      </c>
      <c r="C126" s="26">
        <f t="shared" si="3"/>
        <v>111.8412</v>
      </c>
      <c r="D126" s="26">
        <f t="shared" si="3"/>
        <v>40.254900000000006</v>
      </c>
      <c r="E126" s="30" t="s">
        <v>10</v>
      </c>
      <c r="F126" s="28">
        <f>+C126*31</f>
        <v>3467.0772</v>
      </c>
      <c r="G126" s="28">
        <f>+D126*31</f>
        <v>1247.9019000000003</v>
      </c>
      <c r="H126" s="28">
        <f t="shared" si="4"/>
        <v>4714.9791000000005</v>
      </c>
      <c r="I126" s="29">
        <f>+B126*31</f>
        <v>2397.447</v>
      </c>
      <c r="J126" s="33">
        <f t="shared" si="5"/>
        <v>2317.5321000000004</v>
      </c>
    </row>
    <row r="127" spans="2:10" ht="12.75">
      <c r="B127" s="27"/>
      <c r="C127" s="27"/>
      <c r="D127" s="27"/>
      <c r="E127" s="32" t="s">
        <v>100</v>
      </c>
      <c r="F127" s="29">
        <f>SUM(F115:F126)</f>
        <v>136944.5919</v>
      </c>
      <c r="G127" s="29">
        <f>SUM(G115:G126)</f>
        <v>53927.0901</v>
      </c>
      <c r="H127" s="29">
        <f>SUM(H115:H126)</f>
        <v>190871.682</v>
      </c>
      <c r="I127" s="29">
        <f>SUM(I115:I126)</f>
        <v>111445.78980000001</v>
      </c>
      <c r="J127" s="33">
        <f t="shared" si="5"/>
        <v>79425.89219999999</v>
      </c>
    </row>
    <row r="128" spans="2:10" ht="12.75">
      <c r="B128" s="4"/>
      <c r="C128" s="4"/>
      <c r="D128" s="4"/>
      <c r="E128" s="31" t="s">
        <v>104</v>
      </c>
      <c r="F128" s="34">
        <f>F127/H127</f>
        <v>0.7174694038689301</v>
      </c>
      <c r="G128" s="34">
        <f>G127/H127</f>
        <v>0.2825305961310699</v>
      </c>
      <c r="H128" s="4"/>
      <c r="I128" s="4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</sheetData>
  <mergeCells count="8">
    <mergeCell ref="E110:J110"/>
    <mergeCell ref="E112:E114"/>
    <mergeCell ref="F112:F113"/>
    <mergeCell ref="G112:G113"/>
    <mergeCell ref="H112:H113"/>
    <mergeCell ref="I112:I113"/>
    <mergeCell ref="J112:J113"/>
    <mergeCell ref="F114:J114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B24">
      <selection activeCell="C70" sqref="C70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22</v>
      </c>
      <c r="C1">
        <v>12.3</v>
      </c>
    </row>
    <row r="2" spans="1:11" ht="12.75">
      <c r="A2" t="s">
        <v>20</v>
      </c>
      <c r="B2" s="1" t="s">
        <v>22</v>
      </c>
      <c r="C2">
        <v>4.01</v>
      </c>
      <c r="K2" s="5"/>
    </row>
    <row r="3" spans="1:13" ht="12.75">
      <c r="A3" t="s">
        <v>21</v>
      </c>
      <c r="B3" s="1" t="s">
        <v>23</v>
      </c>
      <c r="C3">
        <v>2.63</v>
      </c>
      <c r="K3" s="177"/>
      <c r="L3" s="177"/>
      <c r="M3" s="177"/>
    </row>
    <row r="5" ht="12.75">
      <c r="A5" t="s">
        <v>25</v>
      </c>
    </row>
    <row r="6" spans="1:2" ht="12.75">
      <c r="A6" t="s">
        <v>26</v>
      </c>
      <c r="B6">
        <f>+LN(C3)</f>
        <v>0.9669838461896731</v>
      </c>
    </row>
    <row r="7" spans="2:3" ht="12.75">
      <c r="B7">
        <f>20+(14.42*B6)</f>
        <v>33.94390706205509</v>
      </c>
      <c r="C7" t="s">
        <v>29</v>
      </c>
    </row>
    <row r="8" spans="1:2" ht="12.75">
      <c r="A8" t="s">
        <v>27</v>
      </c>
      <c r="B8">
        <f>+LN(C2)</f>
        <v>1.3887912413184778</v>
      </c>
    </row>
    <row r="9" spans="2:3" ht="12.75">
      <c r="B9">
        <f>+(9.81*B8)+30.6</f>
        <v>44.22404207733427</v>
      </c>
      <c r="C9" t="s">
        <v>29</v>
      </c>
    </row>
    <row r="10" spans="1:2" ht="12.75">
      <c r="A10" t="s">
        <v>28</v>
      </c>
      <c r="B10">
        <f>+LN(C1)</f>
        <v>2.509599262378372</v>
      </c>
    </row>
    <row r="11" spans="2:3" ht="12.75">
      <c r="B11">
        <f>+(14.42*B10)+4.15</f>
        <v>40.338421363496124</v>
      </c>
      <c r="C11" t="s">
        <v>29</v>
      </c>
    </row>
    <row r="13" ht="12.75">
      <c r="A13" t="s">
        <v>30</v>
      </c>
    </row>
    <row r="14" spans="1:2" ht="12.75">
      <c r="A14" t="s">
        <v>31</v>
      </c>
      <c r="B14">
        <f>+LN(C2)</f>
        <v>1.3887912413184778</v>
      </c>
    </row>
    <row r="15" spans="2:3" ht="12.75">
      <c r="B15">
        <f>20+(14.42*B14)</f>
        <v>40.02636969981245</v>
      </c>
      <c r="C15" t="s">
        <v>29</v>
      </c>
    </row>
    <row r="16" spans="1:2" ht="12.75">
      <c r="A16" t="s">
        <v>32</v>
      </c>
      <c r="B16">
        <f>+LN(C1)</f>
        <v>2.509599262378372</v>
      </c>
    </row>
    <row r="17" spans="2:3" ht="12.75">
      <c r="B17">
        <f>20.02*B16</f>
        <v>50.24217723281501</v>
      </c>
      <c r="C17" t="s">
        <v>34</v>
      </c>
    </row>
    <row r="18" spans="1:2" ht="12.75">
      <c r="A18" t="s">
        <v>33</v>
      </c>
      <c r="B18">
        <f>+LN(1/C3-0.08)</f>
        <v>-1.2032126370525384</v>
      </c>
    </row>
    <row r="19" spans="2:3" ht="12.75">
      <c r="B19">
        <f>75.34+(19.46*B18)</f>
        <v>51.9254820829576</v>
      </c>
      <c r="C19" t="s">
        <v>34</v>
      </c>
    </row>
    <row r="22" spans="1:7" ht="12.75">
      <c r="A22" t="s">
        <v>190</v>
      </c>
      <c r="B22" t="s">
        <v>119</v>
      </c>
      <c r="C22" s="178" t="s">
        <v>124</v>
      </c>
      <c r="D22" s="178"/>
      <c r="E22" s="178"/>
      <c r="F22" s="178"/>
      <c r="G22" t="s">
        <v>129</v>
      </c>
    </row>
    <row r="23" spans="2:7" ht="12.75">
      <c r="B23" t="s">
        <v>120</v>
      </c>
      <c r="C23" t="s">
        <v>121</v>
      </c>
      <c r="D23" t="s">
        <v>122</v>
      </c>
      <c r="E23" t="s">
        <v>123</v>
      </c>
      <c r="G23" s="52">
        <v>18880</v>
      </c>
    </row>
    <row r="24" spans="2:7" ht="12.75">
      <c r="B24">
        <v>100000</v>
      </c>
      <c r="C24">
        <v>22600</v>
      </c>
      <c r="D24" s="52">
        <f aca="true" t="shared" si="0" ref="D24:D30">C24+G$23</f>
        <v>41480</v>
      </c>
      <c r="E24">
        <f aca="true" t="shared" si="1" ref="E24:E30">C24-G$27</f>
        <v>14930</v>
      </c>
      <c r="G24" s="52"/>
    </row>
    <row r="25" spans="2:5" ht="12.75">
      <c r="B25">
        <v>200000</v>
      </c>
      <c r="C25">
        <v>45210</v>
      </c>
      <c r="D25" s="52">
        <f t="shared" si="0"/>
        <v>64090</v>
      </c>
      <c r="E25">
        <f t="shared" si="1"/>
        <v>37540</v>
      </c>
    </row>
    <row r="26" spans="2:7" ht="12.75">
      <c r="B26">
        <v>261000</v>
      </c>
      <c r="C26">
        <v>59000</v>
      </c>
      <c r="D26" s="52">
        <f t="shared" si="0"/>
        <v>77880</v>
      </c>
      <c r="E26">
        <f t="shared" si="1"/>
        <v>51330</v>
      </c>
      <c r="G26" t="s">
        <v>130</v>
      </c>
    </row>
    <row r="27" spans="2:7" ht="12.75">
      <c r="B27">
        <v>275000</v>
      </c>
      <c r="C27">
        <v>62160</v>
      </c>
      <c r="D27" s="52">
        <f t="shared" si="0"/>
        <v>81040</v>
      </c>
      <c r="E27">
        <f t="shared" si="1"/>
        <v>54490</v>
      </c>
      <c r="G27">
        <v>7670</v>
      </c>
    </row>
    <row r="28" spans="2:5" ht="12.75">
      <c r="B28">
        <v>300000</v>
      </c>
      <c r="C28">
        <v>67820</v>
      </c>
      <c r="D28" s="52">
        <f t="shared" si="0"/>
        <v>86700</v>
      </c>
      <c r="E28">
        <f t="shared" si="1"/>
        <v>60150</v>
      </c>
    </row>
    <row r="29" spans="2:5" ht="12.75">
      <c r="B29">
        <v>350000</v>
      </c>
      <c r="C29">
        <v>79120</v>
      </c>
      <c r="D29" s="52">
        <f t="shared" si="0"/>
        <v>98000</v>
      </c>
      <c r="E29">
        <f t="shared" si="1"/>
        <v>71450</v>
      </c>
    </row>
    <row r="30" spans="2:5" ht="12.75">
      <c r="B30">
        <v>400000</v>
      </c>
      <c r="C30">
        <v>90425</v>
      </c>
      <c r="D30" s="52">
        <f t="shared" si="0"/>
        <v>109305</v>
      </c>
      <c r="E30">
        <f t="shared" si="1"/>
        <v>82755</v>
      </c>
    </row>
    <row r="53" spans="1:3" ht="12.75">
      <c r="A53" s="10" t="s">
        <v>189</v>
      </c>
      <c r="B53" s="98" t="s">
        <v>185</v>
      </c>
      <c r="C53" s="98" t="s">
        <v>186</v>
      </c>
    </row>
    <row r="54" spans="1:3" ht="12.75">
      <c r="A54" s="10"/>
      <c r="B54" s="98" t="s">
        <v>187</v>
      </c>
      <c r="C54" s="98"/>
    </row>
    <row r="55" spans="1:3" ht="12.75">
      <c r="A55" s="10"/>
      <c r="B55" s="98" t="s">
        <v>188</v>
      </c>
      <c r="C55" s="98"/>
    </row>
    <row r="56" spans="1:3" ht="12.75">
      <c r="A56" s="10">
        <v>1986</v>
      </c>
      <c r="B56" s="98">
        <v>272000</v>
      </c>
      <c r="C56" s="169"/>
    </row>
    <row r="57" spans="1:3" ht="12.75">
      <c r="A57" s="10">
        <v>1987</v>
      </c>
      <c r="B57" s="98">
        <v>295890</v>
      </c>
      <c r="C57" s="169"/>
    </row>
    <row r="58" spans="1:3" ht="12.75">
      <c r="A58" s="10">
        <v>1988</v>
      </c>
      <c r="B58" s="98">
        <v>303850</v>
      </c>
      <c r="C58" s="169"/>
    </row>
    <row r="59" spans="1:3" ht="12.75">
      <c r="A59" s="10">
        <v>1989</v>
      </c>
      <c r="B59" s="98">
        <v>294160</v>
      </c>
      <c r="C59" s="169"/>
    </row>
    <row r="60" spans="1:3" ht="12.75">
      <c r="A60" s="10">
        <v>1990</v>
      </c>
      <c r="B60" s="98">
        <v>283350</v>
      </c>
      <c r="C60" s="169"/>
    </row>
    <row r="61" spans="1:3" ht="12.75">
      <c r="A61" s="10">
        <v>1991</v>
      </c>
      <c r="B61" s="98">
        <v>300170</v>
      </c>
      <c r="C61" s="169">
        <v>7638.4</v>
      </c>
    </row>
    <row r="62" spans="1:3" ht="12.75">
      <c r="A62" s="10">
        <v>1992</v>
      </c>
      <c r="B62" s="98">
        <v>288460</v>
      </c>
      <c r="C62" s="169">
        <v>8042.72</v>
      </c>
    </row>
    <row r="63" spans="1:3" ht="12.75">
      <c r="A63" s="10">
        <v>1993</v>
      </c>
      <c r="B63" s="98">
        <v>274470</v>
      </c>
      <c r="C63" s="169">
        <v>6181.12</v>
      </c>
    </row>
    <row r="64" spans="1:3" ht="12.75">
      <c r="A64" s="10">
        <v>1994</v>
      </c>
      <c r="B64" s="98">
        <v>289850</v>
      </c>
      <c r="C64" s="169">
        <v>13763.2</v>
      </c>
    </row>
    <row r="65" spans="1:3" ht="12.75">
      <c r="A65" s="10">
        <v>1995</v>
      </c>
      <c r="B65" s="98">
        <v>307530</v>
      </c>
      <c r="C65" s="169">
        <v>69252.97</v>
      </c>
    </row>
    <row r="66" spans="1:3" ht="12.75">
      <c r="A66" s="10">
        <v>1996</v>
      </c>
      <c r="B66" s="98">
        <v>270659</v>
      </c>
      <c r="C66" s="169">
        <v>21799.33</v>
      </c>
    </row>
    <row r="67" spans="1:3" ht="12.75">
      <c r="A67" s="10">
        <v>1997</v>
      </c>
      <c r="B67" s="98">
        <v>280000</v>
      </c>
      <c r="C67" s="98">
        <v>22150</v>
      </c>
    </row>
    <row r="68" spans="1:3" ht="12.75">
      <c r="A68">
        <v>1998</v>
      </c>
      <c r="B68">
        <v>199463</v>
      </c>
      <c r="C68">
        <v>52167</v>
      </c>
    </row>
    <row r="69" spans="1:3" ht="12.75">
      <c r="A69">
        <v>1999</v>
      </c>
      <c r="B69">
        <v>205361</v>
      </c>
      <c r="C69">
        <v>44218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2000-10-10T19:14:45Z</cp:lastPrinted>
  <dcterms:created xsi:type="dcterms:W3CDTF">1998-04-15T20:46:00Z</dcterms:created>
  <dcterms:modified xsi:type="dcterms:W3CDTF">2005-02-17T23:56:45Z</dcterms:modified>
  <cp:category/>
  <cp:version/>
  <cp:contentType/>
  <cp:contentStatus/>
</cp:coreProperties>
</file>