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7965" windowHeight="3705" tabRatio="601" firstSheet="1" activeTab="5"/>
  </bookViews>
  <sheets>
    <sheet name="Nutrient" sheetId="1" r:id="rId1"/>
    <sheet name="2001 Flow" sheetId="2" r:id="rId2"/>
    <sheet name="2001 Walker-carlson" sheetId="3" r:id="rId3"/>
    <sheet name="Res trends" sheetId="4" r:id="rId4"/>
    <sheet name="Loading" sheetId="5" r:id="rId5"/>
    <sheet name="Models" sheetId="6" r:id="rId6"/>
  </sheets>
  <definedNames>
    <definedName name="_xlnm.Print_Area" localSheetId="1">'2001 Flow'!$E$12:$J$47</definedName>
    <definedName name="_xlnm.Print_Area" localSheetId="5">'Models'!$A$5:$C$20</definedName>
    <definedName name="_xlnm.Print_Area">'2001 Walker-carlson'!$N$1:$T$25</definedName>
    <definedName name="PRINT_AREA_MI">'2001 Walker-carlson'!$N$1:$T$25</definedName>
  </definedNames>
  <calcPr fullCalcOnLoad="1"/>
</workbook>
</file>

<file path=xl/sharedStrings.xml><?xml version="1.0" encoding="utf-8"?>
<sst xmlns="http://schemas.openxmlformats.org/spreadsheetml/2006/main" count="474" uniqueCount="166">
  <si>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</si>
  <si>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</si>
  <si>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</si>
  <si>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</si>
  <si>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</si>
  <si>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</si>
  <si>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</si>
  <si>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</si>
  <si>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</si>
  <si>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</si>
  <si>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</si>
  <si>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</si>
  <si>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</si>
  <si>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</si>
  <si>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</si>
  <si>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</si>
  <si>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</si>
  <si>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</si>
  <si>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</si>
  <si>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</si>
  <si>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</si>
  <si>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</si>
  <si>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</si>
  <si>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</si>
  <si>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</si>
  <si>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</si>
  <si>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</si>
  <si>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</si>
  <si>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</si>
  <si>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</si>
  <si>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</si>
  <si>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</si>
  <si>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</si>
  <si>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</si>
  <si>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</si>
  <si>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</si>
  <si>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(mg/L)</t>
  </si>
  <si>
    <t>(mg/L as N)</t>
  </si>
  <si>
    <t>(mg/L as P)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</si>
  <si>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</si>
  <si>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</si>
  <si>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</si>
  <si>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</si>
  <si>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</si>
  <si>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</si>
  <si>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</si>
  <si>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</si>
  <si>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</si>
  <si>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</si>
  <si>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</si>
  <si>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</si>
  <si>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</si>
  <si>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</si>
  <si>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</si>
  <si>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</si>
  <si>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</si>
  <si>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</si>
  <si>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</si>
  <si>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</si>
  <si>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</si>
  <si>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</si>
  <si>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</si>
  <si>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</si>
  <si>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</si>
  <si>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</si>
  <si>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</si>
  <si>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</si>
  <si>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</si>
  <si>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</si>
  <si>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</si>
  <si>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</si>
  <si>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</si>
  <si>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</si>
  <si>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</si>
  <si>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</si>
  <si>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</si>
  <si>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</si>
  <si>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</si>
  <si>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</si>
  <si>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</si>
  <si>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</si>
  <si>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</si>
  <si>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</si>
  <si>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</si>
  <si>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</si>
  <si>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</si>
  <si>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</si>
  <si>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</si>
  <si>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</si>
  <si>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</si>
  <si>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</si>
  <si>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</si>
  <si>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</si>
  <si>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</si>
  <si>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</si>
  <si>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</si>
  <si>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</si>
  <si>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</si>
  <si>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</si>
  <si>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</si>
  <si>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</si>
  <si>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</si>
  <si>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</si>
  <si>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</si>
  <si>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</si>
  <si>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</si>
  <si>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</si>
  <si>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</si>
  <si>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</si>
  <si>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</si>
  <si>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</si>
  <si>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</si>
  <si>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</si>
  <si>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</si>
  <si>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</si>
  <si>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</si>
  <si>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t>TSS</t>
  </si>
  <si>
    <t>South Platte River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</si>
  <si>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</si>
  <si>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</si>
  <si>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</si>
  <si>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</si>
  <si>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</si>
  <si>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</si>
  <si>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</si>
  <si>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</si>
  <si>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</si>
  <si>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</si>
  <si>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</si>
  <si>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</si>
  <si>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r>
      <t>(ug/L)</t>
    </r>
    <r>
      <rPr>
        <vertAlign val="superscript"/>
        <sz val="12"/>
        <rFont val="Tms Rmn"/>
        <family val="1"/>
      </rPr>
      <t>1)2)</t>
    </r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</si>
  <si>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</si>
  <si>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</si>
  <si>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</si>
  <si>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</si>
  <si>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</si>
  <si>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</si>
  <si>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</si>
  <si>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</si>
  <si>
    <t>GS</t>
  </si>
  <si>
    <t>2000 Chatfield Reservoir</t>
  </si>
  <si>
    <t>Total Nitrate Loading</t>
  </si>
  <si>
    <t>Total</t>
  </si>
  <si>
    <t>Pounds/Month</t>
  </si>
  <si>
    <t>2001 Flow Estimates Chatfield Watershed</t>
  </si>
  <si>
    <t>South Platte Outflow</t>
  </si>
  <si>
    <t>Nitrate/</t>
  </si>
  <si>
    <t>Nitrogen,</t>
  </si>
  <si>
    <t>Phosphorus,</t>
  </si>
  <si>
    <t>Nitrite</t>
  </si>
  <si>
    <t>ammonia</t>
  </si>
  <si>
    <t>total</t>
  </si>
  <si>
    <t>ortho, total</t>
  </si>
  <si>
    <t/>
  </si>
  <si>
    <t>Annual Average</t>
  </si>
  <si>
    <t>.032</t>
  </si>
  <si>
    <t>0</t>
  </si>
  <si>
    <t>Total Suspended</t>
  </si>
  <si>
    <t>Solids (TSS)</t>
  </si>
  <si>
    <t>2001 Total Phosphorus loading</t>
  </si>
  <si>
    <t>2001 Nitrate Loadings</t>
  </si>
  <si>
    <t>Chatfield Reservoir</t>
  </si>
  <si>
    <t>AVG</t>
  </si>
  <si>
    <t>Total Suspended Sediment</t>
  </si>
  <si>
    <t>Ortho Phosphorus</t>
  </si>
  <si>
    <t>Total Nitrogen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</si>
</sst>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</numFmts>
  <fonts count="70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4.75"/>
      <name val="Arial"/>
      <family val="0"/>
    </font>
    <font>
      <sz val="9.5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b/>
      <sz val="8.25"/>
      <name val="Arial"/>
      <family val="2"/>
    </font>
    <font>
      <sz val="9.25"/>
      <name val="Arial"/>
      <family val="2"/>
    </font>
    <font>
      <sz val="14.5"/>
      <name val="Arial"/>
      <family val="0"/>
    </font>
    <font>
      <b/>
      <sz val="10.7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.75"/>
      <name val="Arial"/>
      <family val="2"/>
    </font>
    <font>
      <b/>
      <sz val="9.25"/>
      <name val="Arial"/>
      <family val="2"/>
    </font>
    <font>
      <sz val="11.5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Helvetica"/>
      <family val="2"/>
    </font>
    <font>
      <b/>
      <sz val="9.75"/>
      <name val="Arial"/>
      <family val="2"/>
    </font>
    <font>
      <sz val="8"/>
      <name val="Helvetica"/>
      <family val="2"/>
    </font>
    <font>
      <sz val="10"/>
      <name val="Helv"/>
      <family val="0"/>
    </font>
    <font>
      <sz val="8"/>
      <name val="Helv"/>
      <family val="0"/>
    </font>
    <font>
      <sz val="11.25"/>
      <name val="Arial"/>
      <family val="0"/>
    </font>
    <font>
      <sz val="15"/>
      <name val="Arial"/>
      <family val="0"/>
    </font>
    <font>
      <b/>
      <sz val="11.25"/>
      <name val="Arial"/>
      <family val="2"/>
    </font>
    <font>
      <sz val="8"/>
      <name val="Tms Rmn"/>
      <family val="1"/>
    </font>
    <font>
      <b/>
      <sz val="10.25"/>
      <name val="Arial"/>
      <family val="0"/>
    </font>
    <font>
      <sz val="16.5"/>
      <name val="Arial"/>
      <family val="0"/>
    </font>
    <font>
      <b/>
      <sz val="8"/>
      <name val="Tms Rmn"/>
      <family val="0"/>
    </font>
    <font>
      <sz val="8.25"/>
      <name val="Arial"/>
      <family val="2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u val="single"/>
      <sz val="12"/>
      <name val="Tms Rmn"/>
      <family val="0"/>
    </font>
    <font>
      <vertAlign val="superscript"/>
      <sz val="8"/>
      <name val="Arial"/>
      <family val="2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.75"/>
      <name val="Helvetica-Black"/>
      <family val="2"/>
    </font>
    <font>
      <sz val="11"/>
      <name val="Arial"/>
      <family val="2"/>
    </font>
    <font>
      <b/>
      <sz val="11"/>
      <name val="Arial"/>
      <family val="2"/>
    </font>
    <font>
      <sz val="9.75"/>
      <name val="Arial"/>
      <family val="0"/>
    </font>
    <font>
      <b/>
      <sz val="10.5"/>
      <name val="Arial"/>
      <family val="2"/>
    </font>
    <font>
      <sz val="10.5"/>
      <name val="Arial"/>
      <family val="0"/>
    </font>
    <font>
      <u val="single"/>
      <sz val="10"/>
      <color indexed="36"/>
      <name val="Helvetica"/>
      <family val="2"/>
    </font>
    <font>
      <b/>
      <sz val="17"/>
      <name val="Arial"/>
      <family val="2"/>
    </font>
    <font>
      <sz val="15.5"/>
      <name val="Arial"/>
      <family val="0"/>
    </font>
    <font>
      <b/>
      <sz val="10"/>
      <name val="Helvetica"/>
      <family val="2"/>
    </font>
    <font>
      <sz val="8"/>
      <name val="Helvetica-Black"/>
      <family val="2"/>
    </font>
    <font>
      <i/>
      <sz val="8"/>
      <name val="Arial"/>
      <family val="2"/>
    </font>
    <font>
      <b/>
      <sz val="16"/>
      <name val="Arial"/>
      <family val="2"/>
    </font>
    <font>
      <u val="single"/>
      <sz val="11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ms Rmn"/>
      <family val="0"/>
    </font>
    <font>
      <sz val="9"/>
      <color indexed="8"/>
      <name val="Comic Sans MS"/>
      <family val="4"/>
    </font>
    <font>
      <i/>
      <sz val="9"/>
      <color indexed="8"/>
      <name val="Comic Sans MS"/>
      <family val="4"/>
    </font>
    <font>
      <sz val="5.25"/>
      <name val="Arial"/>
      <family val="2"/>
    </font>
    <font>
      <sz val="9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173" fontId="26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1" fillId="0" borderId="0" xfId="0" applyFont="1" applyFill="1" applyAlignment="1">
      <alignment/>
    </xf>
    <xf numFmtId="169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169" fontId="31" fillId="0" borderId="2" xfId="0" applyNumberFormat="1" applyFont="1" applyFill="1" applyBorder="1" applyAlignment="1">
      <alignment horizontal="center"/>
    </xf>
    <xf numFmtId="0" fontId="31" fillId="0" borderId="2" xfId="0" applyNumberFormat="1" applyFont="1" applyFill="1" applyBorder="1" applyAlignment="1">
      <alignment horizontal="center"/>
    </xf>
    <xf numFmtId="171" fontId="31" fillId="0" borderId="2" xfId="0" applyNumberFormat="1" applyFont="1" applyFill="1" applyBorder="1" applyAlignment="1" applyProtection="1">
      <alignment horizontal="center"/>
      <protection/>
    </xf>
    <xf numFmtId="0" fontId="31" fillId="0" borderId="2" xfId="0" applyFont="1" applyFill="1" applyBorder="1" applyAlignment="1">
      <alignment horizontal="centerContinuous"/>
    </xf>
    <xf numFmtId="171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5" fontId="31" fillId="0" borderId="0" xfId="0" applyNumberFormat="1" applyFont="1" applyFill="1" applyAlignment="1">
      <alignment horizontal="center"/>
    </xf>
    <xf numFmtId="20" fontId="31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3" xfId="0" applyFont="1" applyFill="1" applyBorder="1" applyAlignment="1">
      <alignment horizontal="center"/>
    </xf>
    <xf numFmtId="169" fontId="34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4" fontId="31" fillId="0" borderId="0" xfId="0" applyNumberFormat="1" applyFont="1" applyFill="1" applyAlignment="1">
      <alignment horizontal="center"/>
    </xf>
    <xf numFmtId="22" fontId="31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5" fillId="0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164" fontId="31" fillId="0" borderId="0" xfId="0" applyNumberFormat="1" applyFont="1" applyFill="1" applyBorder="1" applyAlignment="1" applyProtection="1">
      <alignment horizontal="center"/>
      <protection/>
    </xf>
    <xf numFmtId="0" fontId="31" fillId="0" borderId="5" xfId="0" applyFont="1" applyFill="1" applyBorder="1" applyAlignment="1">
      <alignment horizontal="center"/>
    </xf>
    <xf numFmtId="2" fontId="31" fillId="0" borderId="5" xfId="0" applyNumberFormat="1" applyFont="1" applyFill="1" applyBorder="1" applyAlignment="1" applyProtection="1">
      <alignment horizontal="center"/>
      <protection/>
    </xf>
    <xf numFmtId="15" fontId="36" fillId="0" borderId="0" xfId="0" applyNumberFormat="1" applyFont="1" applyFill="1" applyAlignment="1">
      <alignment horizontal="center"/>
    </xf>
    <xf numFmtId="20" fontId="36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center"/>
    </xf>
    <xf numFmtId="169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2" fontId="36" fillId="0" borderId="0" xfId="0" applyNumberFormat="1" applyFont="1" applyFill="1" applyAlignment="1">
      <alignment horizontal="center"/>
    </xf>
    <xf numFmtId="164" fontId="36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0" fontId="38" fillId="0" borderId="0" xfId="0" applyFont="1" applyAlignment="1">
      <alignment horizontal="centerContinuous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1" fontId="38" fillId="0" borderId="0" xfId="0" applyNumberFormat="1" applyFont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174" fontId="38" fillId="0" borderId="0" xfId="0" applyNumberFormat="1" applyFont="1" applyAlignment="1" applyProtection="1">
      <alignment horizontal="center"/>
      <protection/>
    </xf>
    <xf numFmtId="169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/>
    </xf>
    <xf numFmtId="173" fontId="40" fillId="0" borderId="0" xfId="0" applyNumberFormat="1" applyFont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172" fontId="25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15" fontId="36" fillId="0" borderId="6" xfId="0" applyNumberFormat="1" applyFont="1" applyFill="1" applyBorder="1" applyAlignment="1">
      <alignment horizontal="center"/>
    </xf>
    <xf numFmtId="20" fontId="36" fillId="0" borderId="6" xfId="0" applyNumberFormat="1" applyFont="1" applyFill="1" applyBorder="1" applyAlignment="1">
      <alignment horizontal="center"/>
    </xf>
    <xf numFmtId="169" fontId="36" fillId="0" borderId="6" xfId="0" applyNumberFormat="1" applyFont="1" applyFill="1" applyBorder="1" applyAlignment="1">
      <alignment horizontal="center"/>
    </xf>
    <xf numFmtId="1" fontId="36" fillId="0" borderId="6" xfId="0" applyNumberFormat="1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164" fontId="36" fillId="0" borderId="6" xfId="0" applyNumberFormat="1" applyFont="1" applyFill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5" fontId="36" fillId="0" borderId="0" xfId="0" applyNumberFormat="1" applyFont="1" applyFill="1" applyBorder="1" applyAlignment="1">
      <alignment horizontal="center"/>
    </xf>
    <xf numFmtId="20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" fontId="38" fillId="0" borderId="0" xfId="0" applyNumberFormat="1" applyFont="1" applyAlignment="1" applyProtection="1">
      <alignment horizontal="center"/>
      <protection/>
    </xf>
    <xf numFmtId="1" fontId="39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0" fontId="44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right"/>
    </xf>
    <xf numFmtId="0" fontId="38" fillId="0" borderId="0" xfId="0" applyFont="1" applyBorder="1" applyAlignment="1">
      <alignment horizontal="centerContinuous"/>
    </xf>
    <xf numFmtId="1" fontId="38" fillId="0" borderId="0" xfId="0" applyNumberFormat="1" applyFont="1" applyBorder="1" applyAlignment="1">
      <alignment horizontal="center"/>
    </xf>
    <xf numFmtId="169" fontId="38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2" xfId="0" applyFont="1" applyBorder="1" applyAlignment="1">
      <alignment/>
    </xf>
    <xf numFmtId="0" fontId="43" fillId="0" borderId="0" xfId="0" applyFont="1" applyBorder="1" applyAlignment="1">
      <alignment/>
    </xf>
    <xf numFmtId="2" fontId="43" fillId="0" borderId="0" xfId="0" applyNumberFormat="1" applyFont="1" applyFill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4" fillId="0" borderId="1" xfId="0" applyNumberFormat="1" applyFont="1" applyBorder="1" applyAlignment="1">
      <alignment horizontal="center"/>
    </xf>
    <xf numFmtId="0" fontId="27" fillId="0" borderId="0" xfId="0" applyFont="1" applyBorder="1" applyAlignment="1" applyProtection="1">
      <alignment/>
      <protection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2" xfId="0" applyFont="1" applyFill="1" applyBorder="1" applyAlignment="1">
      <alignment horizontal="center"/>
    </xf>
    <xf numFmtId="15" fontId="42" fillId="0" borderId="0" xfId="0" applyNumberFormat="1" applyFont="1" applyFill="1" applyBorder="1" applyAlignment="1">
      <alignment horizontal="right" wrapText="1"/>
    </xf>
    <xf numFmtId="16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2" xfId="0" applyFont="1" applyFill="1" applyBorder="1" applyAlignment="1">
      <alignment horizontal="center"/>
    </xf>
    <xf numFmtId="15" fontId="59" fillId="0" borderId="0" xfId="0" applyNumberFormat="1" applyFont="1" applyFill="1" applyBorder="1" applyAlignment="1">
      <alignment horizontal="right" wrapText="1"/>
    </xf>
    <xf numFmtId="0" fontId="59" fillId="0" borderId="0" xfId="0" applyFont="1" applyBorder="1" applyAlignment="1">
      <alignment horizontal="center"/>
    </xf>
    <xf numFmtId="2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/>
    </xf>
    <xf numFmtId="2" fontId="42" fillId="0" borderId="2" xfId="0" applyNumberFormat="1" applyFont="1" applyFill="1" applyBorder="1" applyAlignment="1">
      <alignment horizontal="center"/>
    </xf>
    <xf numFmtId="15" fontId="42" fillId="0" borderId="7" xfId="0" applyNumberFormat="1" applyFont="1" applyFill="1" applyBorder="1" applyAlignment="1">
      <alignment horizontal="right" wrapText="1"/>
    </xf>
    <xf numFmtId="2" fontId="58" fillId="0" borderId="0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7" xfId="0" applyNumberFormat="1" applyFont="1" applyFill="1" applyBorder="1" applyAlignment="1">
      <alignment horizontal="center" wrapText="1"/>
    </xf>
    <xf numFmtId="0" fontId="60" fillId="0" borderId="7" xfId="0" applyFont="1" applyFill="1" applyBorder="1" applyAlignment="1">
      <alignment horizontal="center" wrapText="1"/>
    </xf>
    <xf numFmtId="0" fontId="61" fillId="0" borderId="7" xfId="0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Border="1" applyAlignment="1">
      <alignment horizontal="center"/>
    </xf>
    <xf numFmtId="49" fontId="60" fillId="0" borderId="0" xfId="0" applyNumberFormat="1" applyFont="1" applyFill="1" applyBorder="1" applyAlignment="1">
      <alignment horizontal="center" wrapText="1"/>
    </xf>
    <xf numFmtId="49" fontId="61" fillId="0" borderId="0" xfId="0" applyNumberFormat="1" applyFont="1" applyFill="1" applyBorder="1" applyAlignment="1">
      <alignment horizontal="center" wrapText="1"/>
    </xf>
    <xf numFmtId="2" fontId="61" fillId="0" borderId="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Continuous"/>
    </xf>
    <xf numFmtId="0" fontId="64" fillId="0" borderId="5" xfId="0" applyFont="1" applyFill="1" applyBorder="1" applyAlignment="1">
      <alignment horizontal="center"/>
    </xf>
    <xf numFmtId="0" fontId="64" fillId="0" borderId="5" xfId="0" applyFont="1" applyFill="1" applyBorder="1" applyAlignment="1">
      <alignment horizontal="centerContinuous"/>
    </xf>
    <xf numFmtId="2" fontId="64" fillId="0" borderId="0" xfId="0" applyNumberFormat="1" applyFont="1" applyFill="1" applyAlignment="1">
      <alignment horizontal="center"/>
    </xf>
    <xf numFmtId="0" fontId="61" fillId="0" borderId="7" xfId="0" applyFont="1" applyBorder="1" applyAlignment="1">
      <alignment horizontal="center"/>
    </xf>
    <xf numFmtId="15" fontId="65" fillId="0" borderId="0" xfId="0" applyNumberFormat="1" applyFont="1" applyFill="1" applyAlignment="1">
      <alignment horizontal="center"/>
    </xf>
    <xf numFmtId="2" fontId="65" fillId="0" borderId="0" xfId="0" applyNumberFormat="1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3" fontId="1" fillId="0" borderId="1" xfId="0" applyNumberFormat="1" applyFont="1" applyBorder="1" applyAlignment="1">
      <alignment horizontal="right"/>
    </xf>
    <xf numFmtId="2" fontId="58" fillId="0" borderId="2" xfId="0" applyNumberFormat="1" applyFont="1" applyFill="1" applyBorder="1" applyAlignment="1">
      <alignment horizontal="center" wrapText="1"/>
    </xf>
    <xf numFmtId="168" fontId="36" fillId="0" borderId="0" xfId="0" applyNumberFormat="1" applyFont="1" applyFill="1" applyAlignment="1">
      <alignment horizontal="center"/>
    </xf>
    <xf numFmtId="168" fontId="36" fillId="0" borderId="6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1" fontId="63" fillId="0" borderId="0" xfId="0" applyNumberFormat="1" applyFont="1" applyFill="1" applyAlignment="1">
      <alignment horizontal="left" vertical="top" wrapText="1"/>
    </xf>
    <xf numFmtId="0" fontId="42" fillId="0" borderId="2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69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4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54" fillId="3" borderId="1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wrapText="1"/>
    </xf>
    <xf numFmtId="164" fontId="1" fillId="3" borderId="8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 wrapText="1"/>
    </xf>
    <xf numFmtId="0" fontId="0" fillId="3" borderId="8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2001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495"/>
          <c:w val="0.8945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Nutrient!$A$87:$A$98</c:f>
              <c:strCache/>
            </c:strRef>
          </c:cat>
          <c:val>
            <c:numRef>
              <c:f>Nutrient!$B$68:$B$79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Nutrient!$B$87:$B$98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Nutrient!$B$109:$B$120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70269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4675"/>
          <c:y val="0.33625"/>
          <c:w val="0.41975"/>
          <c:h val="0.1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1991- 2001 Carlson's Seasonal Trophic Index
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625"/>
          <c:w val="0.964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'2001 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'2001 Walker-carlson'!$C$28:$M$28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'2001 Walker-carlson'!$C$30:$M$30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'2001 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'2001 Walker-carlson'!$C$28:$M$28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'2001 Walker-carlson'!$C$33:$M$33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'2001 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'2001 Walker-carlson'!$C$28:$M$28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'2001 Walker-carlson'!$C$36:$M$36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63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0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875"/>
          <c:w val="0.8782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cat>
            <c:numRef>
              <c:f>'Res trends'!$A$40:$A$58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'Res trends'!$B$40:$B$58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96310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4675"/>
          <c:w val="0.859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'Res trends'!$B$20:$B$38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45160416"/>
        <c:axId val="3790561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axId val="34115050"/>
        <c:axId val="38599995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790561"/>
        <c:crosses val="autoZero"/>
        <c:auto val="0"/>
        <c:lblOffset val="100"/>
        <c:noMultiLvlLbl val="0"/>
      </c:catAx>
      <c:valAx>
        <c:axId val="379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60416"/>
        <c:crossesAt val="1"/>
        <c:crossBetween val="between"/>
        <c:dispUnits/>
      </c:valAx>
      <c:catAx>
        <c:axId val="34115050"/>
        <c:scaling>
          <c:orientation val="minMax"/>
        </c:scaling>
        <c:axPos val="b"/>
        <c:delete val="1"/>
        <c:majorTickMark val="in"/>
        <c:minorTickMark val="none"/>
        <c:tickLblPos val="nextTo"/>
        <c:crossAx val="38599995"/>
        <c:crosses val="autoZero"/>
        <c:auto val="0"/>
        <c:lblOffset val="100"/>
        <c:noMultiLvlLbl val="0"/>
      </c:catAx>
      <c:valAx>
        <c:axId val="3859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15050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87"/>
          <c:y val="0.91125"/>
          <c:w val="0.409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 </a:t>
            </a:r>
            <a:r>
              <a:rPr lang="en-US" cap="none" sz="1000" b="1" i="0" u="none" baseline="0"/>
              <a:t>1982-2001 Chatfield Reservoir Chlorophyll &amp; Phosphorus Growing Season 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3"/>
          <c:w val="0.8775"/>
          <c:h val="0.6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 = 0.351x + 1.1272
R</a:t>
                    </a:r>
                    <a:r>
                      <a:rPr lang="en-US" cap="none" sz="800" b="0" i="0" u="none" baseline="30000"/>
                      <a:t>2</a:t>
                    </a:r>
                    <a:r>
                      <a:rPr lang="en-US" cap="none" sz="800" b="0" i="0" u="none" baseline="0"/>
                      <a:t> = 0.3066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'Res trends'!$D$40:$D$58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'Res trends'!$E$40:$E$58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11855636"/>
        <c:axId val="39591861"/>
      </c:scatterChart>
      <c:valAx>
        <c:axId val="118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91861"/>
        <c:crosses val="autoZero"/>
        <c:crossBetween val="midCat"/>
        <c:dispUnits/>
      </c:valAx>
      <c:valAx>
        <c:axId val="39591861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55636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2001 </a:t>
            </a:r>
            <a:r>
              <a:rPr lang="en-US" cap="none" sz="1125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49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8825"/>
          <c:w val="0.87575"/>
          <c:h val="0.5727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/>
            </c:trendlineLbl>
          </c:trendline>
          <c:cat>
            <c:strRef>
              <c:f>'Res trends'!$E$4:$E$13</c:f>
              <c:strCache/>
            </c:strRef>
          </c:cat>
          <c:val>
            <c:numRef>
              <c:f>'Res trends'!$D$4:$D$13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20782430"/>
        <c:axId val="52824143"/>
      </c:lineChart>
      <c:catAx>
        <c:axId val="2078243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782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1982-2001 </a:t>
            </a:r>
            <a:r>
              <a:rPr lang="en-US" cap="none" sz="900" b="1" i="0" u="none" baseline="0"/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38"/>
          <c:w val="0.867"/>
          <c:h val="0.764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'Res trends'!$B$40:$B$58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655240"/>
        <c:axId val="50897161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trends'!$C$40:$C$58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axId val="55421266"/>
        <c:axId val="29029347"/>
      </c:lineChart>
      <c:catAx>
        <c:axId val="56552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0897161"/>
        <c:crosses val="autoZero"/>
        <c:auto val="0"/>
        <c:lblOffset val="100"/>
        <c:noMultiLvlLbl val="0"/>
      </c:catAx>
      <c:valAx>
        <c:axId val="5089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5240"/>
        <c:crossesAt val="1"/>
        <c:crossBetween val="between"/>
        <c:dispUnits/>
      </c:valAx>
      <c:catAx>
        <c:axId val="55421266"/>
        <c:scaling>
          <c:orientation val="minMax"/>
        </c:scaling>
        <c:axPos val="b"/>
        <c:delete val="1"/>
        <c:majorTickMark val="in"/>
        <c:minorTickMark val="none"/>
        <c:tickLblPos val="nextTo"/>
        <c:crossAx val="29029347"/>
        <c:crosses val="autoZero"/>
        <c:auto val="0"/>
        <c:lblOffset val="100"/>
        <c:noMultiLvlLbl val="0"/>
      </c:catAx>
      <c:valAx>
        <c:axId val="2902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2126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7725"/>
          <c:y val="0.2375"/>
          <c:w val="0.3882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1795"/>
          <c:w val="0.836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59937532"/>
        <c:axId val="2566877"/>
      </c:bar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993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75"/>
          <c:y val="0.252"/>
          <c:w val="0.4112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2001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5"/>
          <c:w val="0.85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01894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5575"/>
          <c:y val="0.34775"/>
          <c:w val="0.38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2001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Loading!$B$76:$B$87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Loading!$C$76:$C$87</c:f>
              <c:numCache/>
            </c:numRef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  <c:max val="1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14096"/>
        <c:crossesAt val="1"/>
        <c:crossBetween val="between"/>
        <c:dispUnits/>
        <c:minorUnit val="50000"/>
      </c:valAx>
      <c:spPr>
        <a:noFill/>
      </c:spPr>
    </c:plotArea>
    <c:legend>
      <c:legendPos val="r"/>
      <c:layout>
        <c:manualLayout>
          <c:xMode val="edge"/>
          <c:yMode val="edge"/>
          <c:x val="0.661"/>
          <c:y val="0.33875"/>
          <c:w val="0.20625"/>
          <c:h val="0.10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Chatfield Resrvoir 
Total Suspended Sediments [Pounds/Year]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03"/>
          <c:w val="0.846"/>
          <c:h val="0.59275"/>
        </c:manualLayout>
      </c:layout>
      <c:pie3DChart>
        <c:varyColors val="1"/>
        <c:ser>
          <c:idx val="0"/>
          <c:order val="0"/>
          <c:tx>
            <c:strRef>
              <c:f>Loading!$A$74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Loading!$B$74:$C$74</c:f>
              <c:strCache/>
            </c:strRef>
          </c:cat>
          <c:val>
            <c:numRef>
              <c:f>Loading!$B$88:$C$88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Chatfield Reservoir 
Average Total Nitrogen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9425"/>
          <c:w val="0.899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Nutrient!$A$124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Nutrient!$B$126:$B$136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022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2001 Chatfield Reservoir
 Total Nitrate Loading [Pounds/Year]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"/>
          <c:y val="0.367"/>
          <c:w val="0.5575"/>
          <c:h val="0.38675"/>
        </c:manualLayout>
      </c:layout>
      <c:pie3DChart>
        <c:varyColors val="1"/>
        <c:ser>
          <c:idx val="0"/>
          <c:order val="0"/>
          <c:tx>
            <c:strRef>
              <c:f>Loading!$H$15</c:f>
              <c:strCache>
                <c:ptCount val="1"/>
                <c:pt idx="0">
                  <c:v>2000 Chatfield Reservoir</c:v>
                </c:pt>
              </c:strCache>
            </c:strRef>
          </c:tx>
          <c:spPr>
            <a:solidFill>
              <a:srgbClr val="CCFFFF"/>
            </a:solidFill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Loading!$B$2:$C$2</c:f>
              <c:strCache/>
            </c:strRef>
          </c:cat>
          <c:val>
            <c:numRef>
              <c:f>Loading!$B$15:$C$15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2001 Chatfield Reservoir 
Total Phosphorus loading [Pounds/Year]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293"/>
          <c:w val="0.62475"/>
          <c:h val="0.45625"/>
        </c:manualLayout>
      </c:layout>
      <c:pie3DChart>
        <c:varyColors val="1"/>
        <c:ser>
          <c:idx val="0"/>
          <c:order val="0"/>
          <c:tx>
            <c:strRef>
              <c:f>Loading!$A$37</c:f>
              <c:strCache>
                <c:ptCount val="1"/>
                <c:pt idx="0">
                  <c:v>2001 Total Phosphorus loading</c:v>
                </c:pt>
              </c:strCache>
            </c:strRef>
          </c:tx>
          <c:spPr>
            <a:solidFill>
              <a:srgbClr val="00FF00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FFFF"/>
              </a:solidFill>
            </c:spPr>
          </c:dPt>
          <c:dPt>
            <c:idx val="1"/>
            <c:explosion val="39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Loading!$B$38:$C$38</c:f>
              <c:strCache/>
            </c:strRef>
          </c:cat>
          <c:val>
            <c:numRef>
              <c:f>Loading!$B$51:$C$51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Maximum Annual Load
 Total Phosphorus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075"/>
          <c:w val="0.87575"/>
          <c:h val="0.6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Models!$C$24:$C$32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Models!$A$55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Models!$B$63:$B$73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Models!$C$63:$C$73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9712442"/>
        <c:axId val="21867659"/>
      </c:scatterChart>
      <c:valAx>
        <c:axId val="39712442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867659"/>
        <c:crosses val="autoZero"/>
        <c:crossBetween val="midCat"/>
        <c:dispUnits/>
        <c:majorUnit val="50000"/>
        <c:minorUnit val="5000"/>
      </c:valAx>
      <c:valAx>
        <c:axId val="2186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12442"/>
        <c:crosses val="autoZero"/>
        <c:crossBetween val="midCat"/>
        <c:dispUnits/>
        <c:majorUnit val="2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2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Chatfield Reservoir
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125"/>
          <c:w val="0.9197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Models!$B$55:$B$57</c:f>
              <c:strCache>
                <c:ptCount val="1"/>
                <c:pt idx="0">
                  <c:v>Total  Volume acre-ft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Models!$A$58:$A$73</c:f>
              <c:numCache/>
            </c:numRef>
          </c:cat>
          <c:val>
            <c:numRef>
              <c:f>Models!$B$58:$B$73</c:f>
              <c:numCache/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775"/>
          <c:w val="0.926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Nutrient!$A$87:$A$98</c:f>
              <c:strCache/>
            </c:strRef>
          </c:cat>
          <c:val>
            <c:numRef>
              <c:f>Nutrient!$H$68:$H$79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Nutrient!$H$87:$H$98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Nutrient!$H$109:$H$120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Total Phosphorus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43945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92"/>
          <c:y val="0.2755"/>
          <c:w val="0.3795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99"/>
          <c:w val="0.90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Nutrient!$D$125</c:f>
              <c:strCache>
                <c:ptCount val="1"/>
                <c:pt idx="0">
                  <c:v>Total Phosphorus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Nutrient!$D$126:$D$136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185690"/>
        <c:axId val="17126891"/>
      </c:bar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1856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2001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85"/>
          <c:w val="0.89575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Nutrient!$I$68:$I$79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Nutrient!$I$109:$I$120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Nutrient!$I$87:$I$98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9924292"/>
        <c:crossesAt val="1"/>
        <c:crossBetween val="between"/>
        <c:dispUnits/>
        <c:minorUnit val="1"/>
      </c:valAx>
      <c:spPr>
        <a:noFill/>
      </c:spPr>
    </c:plotArea>
    <c:legend>
      <c:legendPos val="b"/>
      <c:layout>
        <c:manualLayout>
          <c:xMode val="edge"/>
          <c:yMode val="edge"/>
          <c:x val="0.16075"/>
          <c:y val="0.9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2001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1"/>
          <c:w val="0.911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Nutrient!$A$124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Nutrient!$E$126:$E$136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49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Flow Estimates Chatfield Watershed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13"/>
          <c:w val="0.76175"/>
          <c:h val="0.52575"/>
        </c:manualLayout>
      </c:layout>
      <c:pie3DChart>
        <c:varyColors val="1"/>
        <c:ser>
          <c:idx val="0"/>
          <c:order val="0"/>
          <c:tx>
            <c:strRef>
              <c:f>'2001 Flow'!$E$13:$J$13</c:f>
              <c:strCache>
                <c:ptCount val="1"/>
                <c:pt idx="0">
                  <c:v>2001 Flow Estimates Chatfield Watershed</c:v>
                </c:pt>
              </c:strCache>
            </c:strRef>
          </c:tx>
          <c:spPr>
            <a:solidFill>
              <a:srgbClr val="CCFFCC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'2001 Flow'!$F$15:$G$16</c:f>
              <c:multiLvlStrCache/>
            </c:multiLvlStrRef>
          </c:cat>
          <c:val>
            <c:numRef>
              <c:f>'2001 Flow'!$F$30:$G$30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25"/>
          <c:y val="0.86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
1988-2001 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7"/>
          <c:w val="0.93"/>
          <c:h val="0.758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'2001 Walker-carlson'!$O$2:$Z$2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'2001 Walker-carlson'!$O$12:$Z$12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2322424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1991-2001 Walker's Seasonal TSI Values Chatfield Reservoir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8225"/>
          <c:h val="0.737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'2001 Walker-carlson'!$P$16:$Z$16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'2001 Walker-carlson'!$P$26:$Z$26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51554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714375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4057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4819650" y="209550"/>
        <a:ext cx="45720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714375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40767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647700</xdr:colOff>
      <xdr:row>16</xdr:row>
      <xdr:rowOff>66675</xdr:rowOff>
    </xdr:from>
    <xdr:to>
      <xdr:col>12</xdr:col>
      <xdr:colOff>0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4752975" y="2657475"/>
        <a:ext cx="46291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5</xdr:col>
      <xdr:colOff>19050</xdr:colOff>
      <xdr:row>47</xdr:row>
      <xdr:rowOff>57150</xdr:rowOff>
    </xdr:to>
    <xdr:graphicFrame>
      <xdr:nvGraphicFramePr>
        <xdr:cNvPr id="5" name="Chart 7"/>
        <xdr:cNvGraphicFramePr/>
      </xdr:nvGraphicFramePr>
      <xdr:xfrm>
        <a:off x="9525" y="5476875"/>
        <a:ext cx="411480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419100</xdr:colOff>
      <xdr:row>34</xdr:row>
      <xdr:rowOff>19050</xdr:rowOff>
    </xdr:from>
    <xdr:to>
      <xdr:col>11</xdr:col>
      <xdr:colOff>438150</xdr:colOff>
      <xdr:row>47</xdr:row>
      <xdr:rowOff>19050</xdr:rowOff>
    </xdr:to>
    <xdr:graphicFrame>
      <xdr:nvGraphicFramePr>
        <xdr:cNvPr id="6" name="Chart 8"/>
        <xdr:cNvGraphicFramePr/>
      </xdr:nvGraphicFramePr>
      <xdr:xfrm>
        <a:off x="4524375" y="5524500"/>
        <a:ext cx="46863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33</xdr:row>
      <xdr:rowOff>0</xdr:rowOff>
    </xdr:from>
    <xdr:to>
      <xdr:col>10</xdr:col>
      <xdr:colOff>19050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2428875" y="5438775"/>
        <a:ext cx="45053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476250</xdr:colOff>
      <xdr:row>37</xdr:row>
      <xdr:rowOff>38100</xdr:rowOff>
    </xdr:from>
    <xdr:to>
      <xdr:col>23</xdr:col>
      <xdr:colOff>361950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0144125" y="6029325"/>
        <a:ext cx="4762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51</xdr:row>
      <xdr:rowOff>19050</xdr:rowOff>
    </xdr:from>
    <xdr:to>
      <xdr:col>24</xdr:col>
      <xdr:colOff>561975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10277475" y="8277225"/>
        <a:ext cx="54387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49</xdr:row>
      <xdr:rowOff>76200</xdr:rowOff>
    </xdr:from>
    <xdr:to>
      <xdr:col>9</xdr:col>
      <xdr:colOff>19050</xdr:colOff>
      <xdr:row>68</xdr:row>
      <xdr:rowOff>0</xdr:rowOff>
    </xdr:to>
    <xdr:graphicFrame>
      <xdr:nvGraphicFramePr>
        <xdr:cNvPr id="3" name="Chart 4"/>
        <xdr:cNvGraphicFramePr/>
      </xdr:nvGraphicFramePr>
      <xdr:xfrm>
        <a:off x="647700" y="8010525"/>
        <a:ext cx="53816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3448050" y="142875"/>
        <a:ext cx="3448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14</xdr:row>
      <xdr:rowOff>38100</xdr:rowOff>
    </xdr:from>
    <xdr:to>
      <xdr:col>11</xdr:col>
      <xdr:colOff>600075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3448050" y="2876550"/>
        <a:ext cx="4248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16</xdr:row>
      <xdr:rowOff>28575</xdr:rowOff>
    </xdr:from>
    <xdr:to>
      <xdr:col>18</xdr:col>
      <xdr:colOff>542925</xdr:colOff>
      <xdr:row>32</xdr:row>
      <xdr:rowOff>9525</xdr:rowOff>
    </xdr:to>
    <xdr:graphicFrame>
      <xdr:nvGraphicFramePr>
        <xdr:cNvPr id="3" name="Chart 4"/>
        <xdr:cNvGraphicFramePr/>
      </xdr:nvGraphicFramePr>
      <xdr:xfrm>
        <a:off x="7877175" y="3190875"/>
        <a:ext cx="40290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0</xdr:row>
      <xdr:rowOff>142875</xdr:rowOff>
    </xdr:from>
    <xdr:to>
      <xdr:col>19</xdr:col>
      <xdr:colOff>9525</xdr:colOff>
      <xdr:row>14</xdr:row>
      <xdr:rowOff>133350</xdr:rowOff>
    </xdr:to>
    <xdr:graphicFrame>
      <xdr:nvGraphicFramePr>
        <xdr:cNvPr id="4" name="Chart 5"/>
        <xdr:cNvGraphicFramePr/>
      </xdr:nvGraphicFramePr>
      <xdr:xfrm>
        <a:off x="7848600" y="142875"/>
        <a:ext cx="41338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40</xdr:row>
      <xdr:rowOff>57150</xdr:rowOff>
    </xdr:from>
    <xdr:to>
      <xdr:col>12</xdr:col>
      <xdr:colOff>533400</xdr:colOff>
      <xdr:row>57</xdr:row>
      <xdr:rowOff>38100</xdr:rowOff>
    </xdr:to>
    <xdr:graphicFrame>
      <xdr:nvGraphicFramePr>
        <xdr:cNvPr id="5" name="Chart 6"/>
        <xdr:cNvGraphicFramePr/>
      </xdr:nvGraphicFramePr>
      <xdr:xfrm>
        <a:off x="3762375" y="7105650"/>
        <a:ext cx="44767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81275"/>
        <a:ext cx="4695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4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75</xdr:row>
      <xdr:rowOff>57150</xdr:rowOff>
    </xdr:from>
    <xdr:to>
      <xdr:col>13</xdr:col>
      <xdr:colOff>161925</xdr:colOff>
      <xdr:row>88</xdr:row>
      <xdr:rowOff>9525</xdr:rowOff>
    </xdr:to>
    <xdr:graphicFrame>
      <xdr:nvGraphicFramePr>
        <xdr:cNvPr id="4" name="Chart 9"/>
        <xdr:cNvGraphicFramePr/>
      </xdr:nvGraphicFramePr>
      <xdr:xfrm>
        <a:off x="5581650" y="12249150"/>
        <a:ext cx="36099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16</xdr:row>
      <xdr:rowOff>95250</xdr:rowOff>
    </xdr:from>
    <xdr:to>
      <xdr:col>12</xdr:col>
      <xdr:colOff>438150</xdr:colOff>
      <xdr:row>29</xdr:row>
      <xdr:rowOff>47625</xdr:rowOff>
    </xdr:to>
    <xdr:graphicFrame>
      <xdr:nvGraphicFramePr>
        <xdr:cNvPr id="5" name="Chart 10"/>
        <xdr:cNvGraphicFramePr/>
      </xdr:nvGraphicFramePr>
      <xdr:xfrm>
        <a:off x="5324475" y="2724150"/>
        <a:ext cx="35337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142875</xdr:colOff>
      <xdr:row>36</xdr:row>
      <xdr:rowOff>19050</xdr:rowOff>
    </xdr:from>
    <xdr:to>
      <xdr:col>13</xdr:col>
      <xdr:colOff>95250</xdr:colOff>
      <xdr:row>48</xdr:row>
      <xdr:rowOff>133350</xdr:rowOff>
    </xdr:to>
    <xdr:graphicFrame>
      <xdr:nvGraphicFramePr>
        <xdr:cNvPr id="6" name="Chart 11"/>
        <xdr:cNvGraphicFramePr/>
      </xdr:nvGraphicFramePr>
      <xdr:xfrm>
        <a:off x="5514975" y="5886450"/>
        <a:ext cx="36099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0.582</cdr:y>
    </cdr:from>
    <cdr:to>
      <cdr:x>0.61775</cdr:x>
      <cdr:y>0.6305</cdr:y>
    </cdr:to>
    <cdr:sp>
      <cdr:nvSpPr>
        <cdr:cNvPr id="1" name="TextBox 2"/>
        <cdr:cNvSpPr txBox="1">
          <a:spLocks noChangeArrowheads="1"/>
        </cdr:cNvSpPr>
      </cdr:nvSpPr>
      <cdr:spPr>
        <a:xfrm flipH="1">
          <a:off x="3114675" y="194310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1999</a:t>
          </a:r>
        </a:p>
      </cdr:txBody>
    </cdr:sp>
  </cdr:relSizeAnchor>
  <cdr:relSizeAnchor xmlns:cdr="http://schemas.openxmlformats.org/drawingml/2006/chartDrawing">
    <cdr:from>
      <cdr:x>0.334</cdr:x>
      <cdr:y>0.69325</cdr:y>
    </cdr:from>
    <cdr:to>
      <cdr:x>0.3875</cdr:x>
      <cdr:y>0.73975</cdr:y>
    </cdr:to>
    <cdr:sp>
      <cdr:nvSpPr>
        <cdr:cNvPr id="2" name="TextBox 3"/>
        <cdr:cNvSpPr txBox="1">
          <a:spLocks noChangeArrowheads="1"/>
        </cdr:cNvSpPr>
      </cdr:nvSpPr>
      <cdr:spPr>
        <a:xfrm>
          <a:off x="1962150" y="23145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0.7075</cdr:x>
      <cdr:y>0.465</cdr:y>
    </cdr:from>
    <cdr:to>
      <cdr:x>0.76475</cdr:x>
      <cdr:y>0.51775</cdr:y>
    </cdr:to>
    <cdr:sp>
      <cdr:nvSpPr>
        <cdr:cNvPr id="3" name="TextBox 4"/>
        <cdr:cNvSpPr txBox="1">
          <a:spLocks noChangeArrowheads="1"/>
        </cdr:cNvSpPr>
      </cdr:nvSpPr>
      <cdr:spPr>
        <a:xfrm>
          <a:off x="4162425" y="15525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0.618</cdr:x>
      <cdr:y>0.59675</cdr:y>
    </cdr:from>
    <cdr:to>
      <cdr:x>0.66775</cdr:x>
      <cdr:y>0.646</cdr:y>
    </cdr:to>
    <cdr:sp>
      <cdr:nvSpPr>
        <cdr:cNvPr id="4" name="TextBox 5"/>
        <cdr:cNvSpPr txBox="1">
          <a:spLocks noChangeArrowheads="1"/>
        </cdr:cNvSpPr>
      </cdr:nvSpPr>
      <cdr:spPr>
        <a:xfrm>
          <a:off x="3629025" y="199072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1996</a:t>
          </a:r>
        </a:p>
      </cdr:txBody>
    </cdr:sp>
  </cdr:relSizeAnchor>
  <cdr:relSizeAnchor xmlns:cdr="http://schemas.openxmlformats.org/drawingml/2006/chartDrawing">
    <cdr:from>
      <cdr:x>0.65625</cdr:x>
      <cdr:y>0.58775</cdr:y>
    </cdr:from>
    <cdr:to>
      <cdr:x>0.70825</cdr:x>
      <cdr:y>0.63125</cdr:y>
    </cdr:to>
    <cdr:sp>
      <cdr:nvSpPr>
        <cdr:cNvPr id="5" name="TextBox 6"/>
        <cdr:cNvSpPr txBox="1">
          <a:spLocks noChangeArrowheads="1"/>
        </cdr:cNvSpPr>
      </cdr:nvSpPr>
      <cdr:spPr>
        <a:xfrm>
          <a:off x="3857625" y="1962150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1997</a:t>
          </a:r>
        </a:p>
      </cdr:txBody>
    </cdr:sp>
  </cdr:relSizeAnchor>
  <cdr:relSizeAnchor xmlns:cdr="http://schemas.openxmlformats.org/drawingml/2006/chartDrawing">
    <cdr:from>
      <cdr:x>0.5135</cdr:x>
      <cdr:y>0.465</cdr:y>
    </cdr:from>
    <cdr:to>
      <cdr:x>0.56375</cdr:x>
      <cdr:y>0.51725</cdr:y>
    </cdr:to>
    <cdr:sp>
      <cdr:nvSpPr>
        <cdr:cNvPr id="6" name="TextBox 8"/>
        <cdr:cNvSpPr txBox="1">
          <a:spLocks noChangeArrowheads="1"/>
        </cdr:cNvSpPr>
      </cdr:nvSpPr>
      <cdr:spPr>
        <a:xfrm flipH="1" flipV="1">
          <a:off x="3019425" y="1552575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1998</a:t>
          </a:r>
        </a:p>
      </cdr:txBody>
    </cdr:sp>
  </cdr:relSizeAnchor>
  <cdr:relSizeAnchor xmlns:cdr="http://schemas.openxmlformats.org/drawingml/2006/chartDrawing">
    <cdr:from>
      <cdr:x>0.2295</cdr:x>
      <cdr:y>0.646</cdr:y>
    </cdr:from>
    <cdr:to>
      <cdr:x>0.28275</cdr:x>
      <cdr:y>0.69375</cdr:y>
    </cdr:to>
    <cdr:sp>
      <cdr:nvSpPr>
        <cdr:cNvPr id="7" name="TextBox 10"/>
        <cdr:cNvSpPr txBox="1">
          <a:spLocks noChangeArrowheads="1"/>
        </cdr:cNvSpPr>
      </cdr:nvSpPr>
      <cdr:spPr>
        <a:xfrm>
          <a:off x="1343025" y="215265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9525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1495425" y="5181600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57</xdr:row>
      <xdr:rowOff>85725</xdr:rowOff>
    </xdr:from>
    <xdr:to>
      <xdr:col>10</xdr:col>
      <xdr:colOff>257175</xdr:colOff>
      <xdr:row>70</xdr:row>
      <xdr:rowOff>38100</xdr:rowOff>
    </xdr:to>
    <xdr:graphicFrame>
      <xdr:nvGraphicFramePr>
        <xdr:cNvPr id="2" name="Chart 2"/>
        <xdr:cNvGraphicFramePr/>
      </xdr:nvGraphicFramePr>
      <xdr:xfrm>
        <a:off x="3905250" y="9315450"/>
        <a:ext cx="49434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workbookViewId="0" topLeftCell="A120">
      <selection activeCell="F22" sqref="F22"/>
    </sheetView>
  </sheetViews>
  <sheetFormatPr defaultColWidth="9.140625" defaultRowHeight="12.75"/>
  <cols>
    <col min="1" max="1" width="11.8515625" style="10" bestFit="1" customWidth="1"/>
    <col min="2" max="4" width="13.00390625" style="10" bestFit="1" customWidth="1"/>
    <col min="5" max="6" width="10.7109375" style="10" bestFit="1" customWidth="1"/>
    <col min="7" max="7" width="12.7109375" style="10" bestFit="1" customWidth="1"/>
    <col min="8" max="8" width="12.8515625" style="10" bestFit="1" customWidth="1"/>
    <col min="9" max="9" width="14.00390625" style="10" bestFit="1" customWidth="1"/>
    <col min="10" max="10" width="10.57421875" style="10" customWidth="1"/>
    <col min="11" max="14" width="9.140625" style="10" customWidth="1"/>
    <col min="15" max="15" width="12.00390625" style="10" customWidth="1"/>
    <col min="16" max="16384" width="9.140625" style="10" customWidth="1"/>
  </cols>
  <sheetData>
    <row r="1" spans="1:7" ht="12.75">
      <c r="A1" s="8"/>
      <c r="B1" s="9"/>
      <c r="C1" s="9"/>
      <c r="D1" s="9"/>
      <c r="E1" s="9"/>
      <c r="F1" s="225"/>
      <c r="G1" s="225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84" customFormat="1" ht="12" customHeight="1">
      <c r="A62" s="34"/>
      <c r="B62" s="34"/>
      <c r="C62" s="38"/>
      <c r="D62" s="39"/>
      <c r="E62" s="38"/>
      <c r="F62" s="39"/>
      <c r="G62" s="39"/>
      <c r="H62" s="37"/>
      <c r="I62" s="37"/>
      <c r="J62" s="37"/>
      <c r="K62" s="37"/>
      <c r="L62" s="37"/>
      <c r="M62" s="86"/>
      <c r="O62" s="34"/>
      <c r="P62" s="38"/>
      <c r="Q62" s="39"/>
      <c r="R62" s="38"/>
      <c r="S62" s="39"/>
      <c r="T62" s="39"/>
      <c r="U62" s="37"/>
      <c r="V62" s="37"/>
      <c r="W62" s="37"/>
      <c r="X62" s="37"/>
      <c r="Y62" s="37"/>
      <c r="Z62" s="86"/>
    </row>
    <row r="63" spans="1:26" ht="12.75">
      <c r="A63" s="41"/>
      <c r="B63" s="41"/>
      <c r="C63" s="43"/>
      <c r="D63" s="42"/>
      <c r="E63" s="43"/>
      <c r="F63" s="42"/>
      <c r="G63" s="42"/>
      <c r="H63" s="41"/>
      <c r="I63" s="41"/>
      <c r="J63" s="41"/>
      <c r="K63" s="44"/>
      <c r="L63" s="41"/>
      <c r="M63" s="41"/>
      <c r="O63" s="41"/>
      <c r="P63" s="43"/>
      <c r="Q63" s="42"/>
      <c r="R63" s="43"/>
      <c r="S63" s="42"/>
      <c r="T63" s="42"/>
      <c r="U63" s="41"/>
      <c r="V63" s="41"/>
      <c r="W63" s="41"/>
      <c r="X63" s="44"/>
      <c r="Y63" s="41"/>
      <c r="Z63" s="41"/>
    </row>
    <row r="64" spans="1:13" ht="16.5">
      <c r="A64" s="226" t="s">
        <v>145</v>
      </c>
      <c r="B64" s="226"/>
      <c r="C64" s="168"/>
      <c r="D64" s="167"/>
      <c r="E64" s="167"/>
      <c r="F64" s="167"/>
      <c r="G64" s="167"/>
      <c r="H64" s="168"/>
      <c r="I64" s="100"/>
      <c r="J64" s="100"/>
      <c r="K64" s="100"/>
      <c r="L64" s="100"/>
      <c r="M64" s="101"/>
    </row>
    <row r="65" spans="1:26" ht="16.5">
      <c r="A65" s="167"/>
      <c r="B65" s="174"/>
      <c r="C65" s="174" t="s">
        <v>146</v>
      </c>
      <c r="D65" s="174"/>
      <c r="E65" s="174" t="s">
        <v>147</v>
      </c>
      <c r="F65" s="174" t="s">
        <v>147</v>
      </c>
      <c r="G65" s="174" t="s">
        <v>121</v>
      </c>
      <c r="H65" s="174" t="s">
        <v>148</v>
      </c>
      <c r="I65" s="206" t="s">
        <v>157</v>
      </c>
      <c r="J65" s="100"/>
      <c r="K65" s="100"/>
      <c r="L65" s="100"/>
      <c r="M65" s="101"/>
      <c r="V65" s="11"/>
      <c r="W65" s="11"/>
      <c r="X65" s="11"/>
      <c r="Y65" s="11"/>
      <c r="Z65" s="17"/>
    </row>
    <row r="66" spans="1:13" ht="15">
      <c r="A66" s="174"/>
      <c r="B66" s="174" t="s">
        <v>12</v>
      </c>
      <c r="C66" s="174" t="s">
        <v>149</v>
      </c>
      <c r="D66" s="174" t="s">
        <v>149</v>
      </c>
      <c r="E66" s="174" t="s">
        <v>150</v>
      </c>
      <c r="F66" s="174" t="s">
        <v>151</v>
      </c>
      <c r="G66" s="174" t="s">
        <v>152</v>
      </c>
      <c r="H66" s="174" t="s">
        <v>151</v>
      </c>
      <c r="I66" s="206" t="s">
        <v>158</v>
      </c>
      <c r="J66" s="100"/>
      <c r="K66" s="100"/>
      <c r="L66" s="100"/>
      <c r="M66" s="101"/>
    </row>
    <row r="67" spans="1:26" ht="15">
      <c r="A67" s="175" t="s">
        <v>99</v>
      </c>
      <c r="B67" s="175" t="s">
        <v>37</v>
      </c>
      <c r="C67" s="175" t="s">
        <v>37</v>
      </c>
      <c r="D67" s="175" t="s">
        <v>37</v>
      </c>
      <c r="E67" s="175" t="s">
        <v>36</v>
      </c>
      <c r="F67" s="175" t="s">
        <v>36</v>
      </c>
      <c r="G67" s="175" t="s">
        <v>38</v>
      </c>
      <c r="H67" s="175" t="s">
        <v>38</v>
      </c>
      <c r="I67" s="100"/>
      <c r="J67" s="100"/>
      <c r="K67" s="100"/>
      <c r="L67" s="100"/>
      <c r="M67" s="101"/>
      <c r="V67" s="11"/>
      <c r="W67" s="11"/>
      <c r="X67" s="11"/>
      <c r="Y67" s="11"/>
      <c r="Z67" s="17"/>
    </row>
    <row r="68" spans="1:26" ht="15">
      <c r="A68" s="176" t="s">
        <v>83</v>
      </c>
      <c r="B68" s="185">
        <v>0.08</v>
      </c>
      <c r="C68" s="185">
        <v>0.08</v>
      </c>
      <c r="D68" s="186">
        <v>0.005</v>
      </c>
      <c r="E68" s="185">
        <v>0.06</v>
      </c>
      <c r="F68" s="185" t="s">
        <v>153</v>
      </c>
      <c r="G68" s="186">
        <v>0.0025</v>
      </c>
      <c r="H68" s="187">
        <v>0.01</v>
      </c>
      <c r="I68" s="174">
        <v>10</v>
      </c>
      <c r="J68" s="100"/>
      <c r="K68" s="100"/>
      <c r="L68" s="100"/>
      <c r="M68" s="101"/>
      <c r="P68" s="17"/>
      <c r="Q68" s="17"/>
      <c r="R68" s="17"/>
      <c r="S68" s="17"/>
      <c r="T68" s="17"/>
      <c r="U68" s="17"/>
      <c r="V68" s="11"/>
      <c r="W68" s="11"/>
      <c r="X68" s="11"/>
      <c r="Y68" s="11"/>
      <c r="Z68" s="17"/>
    </row>
    <row r="69" spans="1:26" ht="15">
      <c r="A69" s="176" t="s">
        <v>0</v>
      </c>
      <c r="B69" s="185">
        <v>0.1</v>
      </c>
      <c r="C69" s="185">
        <v>0.1</v>
      </c>
      <c r="D69" s="186">
        <v>0.005</v>
      </c>
      <c r="E69" s="185">
        <v>0.07</v>
      </c>
      <c r="F69" s="185">
        <v>0.4</v>
      </c>
      <c r="G69" s="186">
        <v>0.0025</v>
      </c>
      <c r="H69" s="187">
        <v>0.01</v>
      </c>
      <c r="I69" s="174">
        <v>2.5</v>
      </c>
      <c r="J69" s="100"/>
      <c r="K69" s="100"/>
      <c r="L69" s="100"/>
      <c r="M69" s="101"/>
      <c r="P69" s="17"/>
      <c r="Q69" s="17"/>
      <c r="R69" s="17"/>
      <c r="S69" s="17"/>
      <c r="T69" s="17"/>
      <c r="U69" s="17"/>
      <c r="V69" s="11"/>
      <c r="W69" s="11"/>
      <c r="X69" s="11"/>
      <c r="Y69" s="11"/>
      <c r="Z69" s="17"/>
    </row>
    <row r="70" spans="1:26" ht="15">
      <c r="A70" s="176" t="s">
        <v>1</v>
      </c>
      <c r="B70" s="185">
        <v>0.08</v>
      </c>
      <c r="C70" s="185">
        <v>0.08</v>
      </c>
      <c r="D70" s="186">
        <v>0.005</v>
      </c>
      <c r="E70" s="186">
        <v>0.025</v>
      </c>
      <c r="F70" s="185" t="s">
        <v>153</v>
      </c>
      <c r="G70" s="186">
        <v>0.0025</v>
      </c>
      <c r="H70" s="187">
        <v>0.01</v>
      </c>
      <c r="I70" s="177">
        <v>2.5</v>
      </c>
      <c r="J70" s="100"/>
      <c r="K70" s="100"/>
      <c r="L70" s="100"/>
      <c r="M70" s="101"/>
      <c r="P70" s="17"/>
      <c r="Q70" s="17"/>
      <c r="R70" s="17"/>
      <c r="S70" s="17"/>
      <c r="T70" s="17"/>
      <c r="U70" s="17"/>
      <c r="V70" s="11"/>
      <c r="W70" s="11"/>
      <c r="X70" s="11"/>
      <c r="Y70" s="11"/>
      <c r="Z70" s="17"/>
    </row>
    <row r="71" spans="1:26" ht="15">
      <c r="A71" s="176" t="s">
        <v>2</v>
      </c>
      <c r="B71" s="185">
        <v>0.06</v>
      </c>
      <c r="C71" s="185">
        <v>0.06</v>
      </c>
      <c r="D71" s="186">
        <v>0.005</v>
      </c>
      <c r="E71" s="185">
        <v>0.07</v>
      </c>
      <c r="F71" s="185" t="s">
        <v>153</v>
      </c>
      <c r="G71" s="185">
        <v>0.01</v>
      </c>
      <c r="H71" s="187">
        <v>0.01</v>
      </c>
      <c r="I71" s="174">
        <v>2.5</v>
      </c>
      <c r="J71" s="100"/>
      <c r="K71" s="100"/>
      <c r="L71" s="100"/>
      <c r="M71" s="101"/>
      <c r="V71" s="11"/>
      <c r="W71" s="11"/>
      <c r="X71" s="11"/>
      <c r="Y71" s="11"/>
      <c r="Z71" s="17"/>
    </row>
    <row r="72" spans="1:26" ht="15">
      <c r="A72" s="176" t="s">
        <v>3</v>
      </c>
      <c r="B72" s="185">
        <v>0.04</v>
      </c>
      <c r="C72" s="185">
        <v>0.04</v>
      </c>
      <c r="D72" s="186">
        <v>0.005</v>
      </c>
      <c r="E72" s="186">
        <v>0.025</v>
      </c>
      <c r="F72" s="185">
        <v>0.3</v>
      </c>
      <c r="G72" s="185">
        <v>0.007</v>
      </c>
      <c r="H72" s="187">
        <v>0.02</v>
      </c>
      <c r="I72" s="177">
        <v>2.5</v>
      </c>
      <c r="J72" s="100"/>
      <c r="K72" s="100"/>
      <c r="L72" s="100"/>
      <c r="M72" s="101"/>
      <c r="V72" s="11"/>
      <c r="W72" s="11"/>
      <c r="X72" s="11"/>
      <c r="Y72" s="11"/>
      <c r="Z72" s="17"/>
    </row>
    <row r="73" spans="1:26" ht="15">
      <c r="A73" s="176" t="s">
        <v>4</v>
      </c>
      <c r="B73" s="186">
        <v>0.01</v>
      </c>
      <c r="C73" s="186">
        <v>0.01</v>
      </c>
      <c r="D73" s="186">
        <v>0.005</v>
      </c>
      <c r="E73" s="186">
        <v>0.025</v>
      </c>
      <c r="F73" s="185" t="s">
        <v>153</v>
      </c>
      <c r="G73" s="186">
        <v>0.0025</v>
      </c>
      <c r="H73" s="187">
        <v>0.02</v>
      </c>
      <c r="I73" s="177">
        <v>7</v>
      </c>
      <c r="J73" s="100"/>
      <c r="K73" s="100"/>
      <c r="L73" s="100"/>
      <c r="M73" s="101"/>
      <c r="V73" s="11"/>
      <c r="W73" s="11"/>
      <c r="X73" s="11"/>
      <c r="Y73" s="11"/>
      <c r="Z73" s="17"/>
    </row>
    <row r="74" spans="1:13" ht="15">
      <c r="A74" s="176" t="s">
        <v>5</v>
      </c>
      <c r="B74" s="186">
        <v>0.01</v>
      </c>
      <c r="C74" s="186">
        <v>0.01</v>
      </c>
      <c r="D74" s="186">
        <v>0.005</v>
      </c>
      <c r="E74" s="186">
        <v>0.025</v>
      </c>
      <c r="F74" s="185" t="s">
        <v>153</v>
      </c>
      <c r="G74" s="185">
        <v>0.007</v>
      </c>
      <c r="H74" s="187">
        <v>0.025</v>
      </c>
      <c r="I74" s="177">
        <v>12</v>
      </c>
      <c r="J74" s="100"/>
      <c r="K74" s="100"/>
      <c r="L74" s="100"/>
      <c r="M74" s="101"/>
    </row>
    <row r="75" spans="1:13" ht="15">
      <c r="A75" s="176" t="s">
        <v>6</v>
      </c>
      <c r="B75" s="186">
        <v>0.02</v>
      </c>
      <c r="C75" s="186">
        <v>0.02</v>
      </c>
      <c r="D75" s="186">
        <v>0.005</v>
      </c>
      <c r="E75" s="185">
        <v>11.3</v>
      </c>
      <c r="F75" s="185" t="s">
        <v>153</v>
      </c>
      <c r="G75" s="185">
        <v>0.007</v>
      </c>
      <c r="H75" s="188">
        <v>0.02</v>
      </c>
      <c r="I75" s="177">
        <v>9</v>
      </c>
      <c r="J75" s="100"/>
      <c r="K75" s="100"/>
      <c r="L75" s="100"/>
      <c r="M75" s="101"/>
    </row>
    <row r="76" spans="1:14" ht="15">
      <c r="A76" s="176" t="s">
        <v>7</v>
      </c>
      <c r="B76" s="186">
        <v>0.01</v>
      </c>
      <c r="C76" s="186">
        <v>0.01</v>
      </c>
      <c r="D76" s="186">
        <v>0.005</v>
      </c>
      <c r="E76" s="186">
        <v>0.05</v>
      </c>
      <c r="F76" s="185" t="s">
        <v>153</v>
      </c>
      <c r="G76" s="185">
        <v>0.012</v>
      </c>
      <c r="H76" s="188">
        <v>0.025</v>
      </c>
      <c r="I76" s="177">
        <v>11</v>
      </c>
      <c r="J76" s="99"/>
      <c r="K76" s="98"/>
      <c r="L76" s="98"/>
      <c r="M76" s="100"/>
      <c r="N76" s="98"/>
    </row>
    <row r="77" spans="1:26" ht="15">
      <c r="A77" s="176" t="s">
        <v>8</v>
      </c>
      <c r="B77" s="186">
        <v>0.01</v>
      </c>
      <c r="C77" s="186">
        <v>0.01</v>
      </c>
      <c r="D77" s="186">
        <v>0.005</v>
      </c>
      <c r="E77" s="185">
        <v>0.09</v>
      </c>
      <c r="F77" s="185" t="s">
        <v>153</v>
      </c>
      <c r="G77" s="186">
        <v>0.0025</v>
      </c>
      <c r="H77" s="187">
        <v>0.02</v>
      </c>
      <c r="I77" s="177">
        <v>2.5</v>
      </c>
      <c r="J77" s="37"/>
      <c r="K77" s="37"/>
      <c r="L77" s="37"/>
      <c r="M77" s="37"/>
      <c r="N77" s="68"/>
      <c r="O77" s="34"/>
      <c r="P77" s="38"/>
      <c r="Q77" s="39"/>
      <c r="R77" s="38"/>
      <c r="S77" s="39"/>
      <c r="T77" s="39"/>
      <c r="U77" s="37"/>
      <c r="V77" s="37"/>
      <c r="W77" s="37"/>
      <c r="X77" s="37"/>
      <c r="Y77" s="37"/>
      <c r="Z77" s="37"/>
    </row>
    <row r="78" spans="1:26" ht="15">
      <c r="A78" s="176" t="s">
        <v>9</v>
      </c>
      <c r="B78" s="186">
        <v>0</v>
      </c>
      <c r="C78" s="186">
        <v>0</v>
      </c>
      <c r="D78" s="186">
        <v>0</v>
      </c>
      <c r="E78" s="186">
        <v>0</v>
      </c>
      <c r="F78" s="185">
        <v>0.4</v>
      </c>
      <c r="G78" s="185">
        <v>0.006</v>
      </c>
      <c r="H78" s="187">
        <v>0.01</v>
      </c>
      <c r="I78" s="177">
        <v>2.5</v>
      </c>
      <c r="J78" s="40"/>
      <c r="K78" s="46"/>
      <c r="L78" s="40"/>
      <c r="M78" s="40"/>
      <c r="N78" s="66"/>
      <c r="O78" s="40"/>
      <c r="P78" s="183"/>
      <c r="Q78" s="184"/>
      <c r="R78" s="183"/>
      <c r="S78" s="184"/>
      <c r="T78" s="184"/>
      <c r="U78" s="40"/>
      <c r="V78" s="40"/>
      <c r="W78" s="40"/>
      <c r="X78" s="46"/>
      <c r="Y78" s="41"/>
      <c r="Z78" s="41"/>
    </row>
    <row r="79" spans="1:25" ht="15">
      <c r="A79" s="176" t="s">
        <v>10</v>
      </c>
      <c r="B79" s="185">
        <v>0.11</v>
      </c>
      <c r="C79" s="185">
        <v>0.11</v>
      </c>
      <c r="D79" s="186">
        <v>0.005</v>
      </c>
      <c r="E79" s="186">
        <v>0.025</v>
      </c>
      <c r="F79" s="185" t="s">
        <v>153</v>
      </c>
      <c r="G79" s="186">
        <v>0.0025</v>
      </c>
      <c r="H79" s="187">
        <v>0.01</v>
      </c>
      <c r="I79" s="177">
        <v>2.5</v>
      </c>
      <c r="J79" s="98"/>
      <c r="K79" s="100"/>
      <c r="L79" s="98"/>
      <c r="M79" s="98"/>
      <c r="N79" s="68"/>
      <c r="O79" s="34"/>
      <c r="V79" s="11"/>
      <c r="W79" s="11"/>
      <c r="X79" s="11"/>
      <c r="Y79" s="11"/>
    </row>
    <row r="80" spans="1:26" ht="12.75">
      <c r="A80" s="203" t="s">
        <v>154</v>
      </c>
      <c r="B80" s="204">
        <f aca="true" t="shared" si="0" ref="B80:I80">AVERAGE(B68:B79)</f>
        <v>0.04416666666666667</v>
      </c>
      <c r="C80" s="204">
        <f t="shared" si="0"/>
        <v>0.04416666666666667</v>
      </c>
      <c r="D80" s="204">
        <f t="shared" si="0"/>
        <v>0.0045833333333333325</v>
      </c>
      <c r="E80" s="204">
        <f t="shared" si="0"/>
        <v>0.9804166666666668</v>
      </c>
      <c r="F80" s="204">
        <f t="shared" si="0"/>
        <v>0.3666666666666667</v>
      </c>
      <c r="G80" s="204">
        <f t="shared" si="0"/>
        <v>0.005333333333333333</v>
      </c>
      <c r="H80" s="204">
        <f t="shared" si="0"/>
        <v>0.015833333333333335</v>
      </c>
      <c r="I80" s="204">
        <f t="shared" si="0"/>
        <v>5.541666666666667</v>
      </c>
      <c r="J80" s="98"/>
      <c r="K80" s="100"/>
      <c r="L80" s="98"/>
      <c r="M80" s="98"/>
      <c r="N80" s="68"/>
      <c r="O80" s="34"/>
      <c r="V80" s="11"/>
      <c r="W80" s="11"/>
      <c r="X80" s="11"/>
      <c r="Y80" s="11"/>
      <c r="Z80" s="17"/>
    </row>
    <row r="81" spans="1:26" ht="12.75">
      <c r="A81" s="93"/>
      <c r="B81" s="94"/>
      <c r="C81" s="95"/>
      <c r="D81" s="96"/>
      <c r="E81" s="95"/>
      <c r="F81" s="96"/>
      <c r="G81" s="96"/>
      <c r="H81" s="98"/>
      <c r="I81" s="99"/>
      <c r="J81" s="98"/>
      <c r="K81" s="100"/>
      <c r="L81" s="98"/>
      <c r="M81" s="98"/>
      <c r="N81" s="66"/>
      <c r="O81" s="34"/>
      <c r="V81" s="11"/>
      <c r="W81" s="11"/>
      <c r="X81" s="11"/>
      <c r="Y81" s="11"/>
      <c r="Z81" s="17"/>
    </row>
    <row r="82" spans="1:26" ht="12.75">
      <c r="A82" s="93"/>
      <c r="B82" s="94"/>
      <c r="C82" s="95"/>
      <c r="D82" s="96"/>
      <c r="E82" s="95"/>
      <c r="F82" s="96"/>
      <c r="G82" s="96"/>
      <c r="H82" s="98"/>
      <c r="I82" s="99"/>
      <c r="J82" s="98"/>
      <c r="K82" s="100"/>
      <c r="L82" s="98"/>
      <c r="M82" s="98"/>
      <c r="N82" s="64"/>
      <c r="O82" s="34"/>
      <c r="P82" s="17"/>
      <c r="Q82" s="17"/>
      <c r="R82" s="17"/>
      <c r="S82" s="17"/>
      <c r="T82" s="17"/>
      <c r="U82" s="17"/>
      <c r="V82" s="11"/>
      <c r="W82" s="11"/>
      <c r="X82" s="11"/>
      <c r="Y82" s="11"/>
      <c r="Z82" s="17"/>
    </row>
    <row r="83" spans="1:26" ht="16.5">
      <c r="A83" s="226" t="s">
        <v>84</v>
      </c>
      <c r="B83" s="226"/>
      <c r="C83" s="178"/>
      <c r="D83" s="167"/>
      <c r="E83" s="167"/>
      <c r="F83" s="167"/>
      <c r="G83" s="167"/>
      <c r="H83" s="178"/>
      <c r="I83" s="99"/>
      <c r="J83" s="98"/>
      <c r="K83" s="100"/>
      <c r="L83" s="98"/>
      <c r="M83" s="98"/>
      <c r="N83" s="64"/>
      <c r="O83" s="34"/>
      <c r="P83" s="17"/>
      <c r="Q83" s="17"/>
      <c r="R83" s="17"/>
      <c r="S83" s="17"/>
      <c r="T83" s="17"/>
      <c r="U83" s="17"/>
      <c r="V83" s="11"/>
      <c r="W83" s="11"/>
      <c r="X83" s="11"/>
      <c r="Y83" s="11"/>
      <c r="Z83" s="17"/>
    </row>
    <row r="84" spans="1:26" ht="16.5">
      <c r="A84" s="167"/>
      <c r="B84" s="179"/>
      <c r="C84" s="179" t="s">
        <v>146</v>
      </c>
      <c r="D84" s="167"/>
      <c r="E84" s="167" t="s">
        <v>147</v>
      </c>
      <c r="F84" s="167" t="s">
        <v>147</v>
      </c>
      <c r="G84" s="167" t="s">
        <v>121</v>
      </c>
      <c r="H84" s="179" t="s">
        <v>148</v>
      </c>
      <c r="I84" s="206" t="s">
        <v>157</v>
      </c>
      <c r="J84" s="98"/>
      <c r="K84" s="100"/>
      <c r="L84" s="98"/>
      <c r="M84" s="98"/>
      <c r="N84" s="68"/>
      <c r="O84" s="34"/>
      <c r="P84" s="17"/>
      <c r="Q84" s="17"/>
      <c r="R84" s="17"/>
      <c r="S84" s="17"/>
      <c r="T84" s="17"/>
      <c r="U84" s="17"/>
      <c r="V84" s="11"/>
      <c r="W84" s="11"/>
      <c r="X84" s="11"/>
      <c r="Y84" s="11"/>
      <c r="Z84" s="17"/>
    </row>
    <row r="85" spans="1:26" ht="16.5">
      <c r="A85" s="167"/>
      <c r="B85" s="179" t="s">
        <v>12</v>
      </c>
      <c r="C85" s="179" t="s">
        <v>149</v>
      </c>
      <c r="D85" s="167" t="s">
        <v>149</v>
      </c>
      <c r="E85" s="167" t="s">
        <v>150</v>
      </c>
      <c r="F85" s="167" t="s">
        <v>151</v>
      </c>
      <c r="G85" s="167" t="s">
        <v>152</v>
      </c>
      <c r="H85" s="179" t="s">
        <v>151</v>
      </c>
      <c r="I85" s="206" t="s">
        <v>158</v>
      </c>
      <c r="J85" s="98"/>
      <c r="K85" s="100"/>
      <c r="L85" s="98"/>
      <c r="M85" s="98"/>
      <c r="N85" s="68"/>
      <c r="O85" s="34"/>
      <c r="P85" s="17"/>
      <c r="Q85" s="17"/>
      <c r="R85" s="17"/>
      <c r="S85" s="17"/>
      <c r="T85" s="17"/>
      <c r="U85" s="17"/>
      <c r="V85" s="11"/>
      <c r="W85" s="11"/>
      <c r="X85" s="11"/>
      <c r="Y85" s="11"/>
      <c r="Z85" s="17"/>
    </row>
    <row r="86" spans="1:26" ht="16.5">
      <c r="A86" s="169" t="s">
        <v>99</v>
      </c>
      <c r="B86" s="180" t="s">
        <v>37</v>
      </c>
      <c r="C86" s="180" t="s">
        <v>37</v>
      </c>
      <c r="D86" s="169" t="s">
        <v>37</v>
      </c>
      <c r="E86" s="169" t="s">
        <v>36</v>
      </c>
      <c r="F86" s="169" t="s">
        <v>36</v>
      </c>
      <c r="G86" s="169" t="s">
        <v>38</v>
      </c>
      <c r="H86" s="180" t="s">
        <v>38</v>
      </c>
      <c r="I86" s="99"/>
      <c r="J86" s="98"/>
      <c r="K86" s="102"/>
      <c r="L86" s="98"/>
      <c r="M86" s="98"/>
      <c r="N86" s="68"/>
      <c r="O86" s="34"/>
      <c r="V86" s="11"/>
      <c r="W86" s="11"/>
      <c r="X86" s="11"/>
      <c r="Y86" s="11"/>
      <c r="Z86" s="17"/>
    </row>
    <row r="87" spans="1:14" ht="16.5">
      <c r="A87" s="170" t="s">
        <v>83</v>
      </c>
      <c r="B87" s="192">
        <v>1.33</v>
      </c>
      <c r="C87" s="192">
        <v>1.34</v>
      </c>
      <c r="D87" s="186">
        <v>0.01</v>
      </c>
      <c r="E87" s="185">
        <v>0.12</v>
      </c>
      <c r="F87" s="185" t="s">
        <v>153</v>
      </c>
      <c r="G87" s="185">
        <v>0.056</v>
      </c>
      <c r="H87" s="193">
        <v>0.03</v>
      </c>
      <c r="I87" s="207">
        <v>26</v>
      </c>
      <c r="J87" s="98"/>
      <c r="K87" s="100"/>
      <c r="L87" s="98"/>
      <c r="M87" s="98"/>
      <c r="N87" s="68"/>
    </row>
    <row r="88" spans="1:14" ht="16.5">
      <c r="A88" s="170" t="s">
        <v>0</v>
      </c>
      <c r="B88" s="192">
        <v>1.13</v>
      </c>
      <c r="C88" s="192">
        <v>1.13</v>
      </c>
      <c r="D88" s="186">
        <v>0.005</v>
      </c>
      <c r="E88" s="185">
        <v>0.025</v>
      </c>
      <c r="F88" s="185">
        <v>1.6</v>
      </c>
      <c r="G88" s="185">
        <v>0.019</v>
      </c>
      <c r="H88" s="193">
        <v>0.09</v>
      </c>
      <c r="I88" s="207">
        <v>54</v>
      </c>
      <c r="J88" s="98"/>
      <c r="K88" s="100"/>
      <c r="L88" s="98"/>
      <c r="M88" s="98"/>
      <c r="N88" s="68"/>
    </row>
    <row r="89" spans="1:14" ht="16.5">
      <c r="A89" s="170" t="s">
        <v>1</v>
      </c>
      <c r="B89" s="192">
        <v>0.58</v>
      </c>
      <c r="C89" s="192">
        <v>0.58</v>
      </c>
      <c r="D89" s="186">
        <v>0.005</v>
      </c>
      <c r="E89" s="185">
        <v>0.06</v>
      </c>
      <c r="F89" s="185" t="s">
        <v>153</v>
      </c>
      <c r="G89" s="185">
        <v>0.022</v>
      </c>
      <c r="H89" s="193">
        <v>0.06</v>
      </c>
      <c r="I89" s="208">
        <v>18</v>
      </c>
      <c r="J89" s="98"/>
      <c r="K89" s="100"/>
      <c r="L89" s="98"/>
      <c r="M89" s="98"/>
      <c r="N89" s="68"/>
    </row>
    <row r="90" spans="1:14" ht="16.5">
      <c r="A90" s="170" t="s">
        <v>2</v>
      </c>
      <c r="B90" s="192">
        <v>0.3</v>
      </c>
      <c r="C90" s="192">
        <v>0.31</v>
      </c>
      <c r="D90" s="186">
        <v>0.01</v>
      </c>
      <c r="E90" s="185">
        <v>0.13</v>
      </c>
      <c r="F90" s="185" t="s">
        <v>153</v>
      </c>
      <c r="G90" s="185">
        <v>0.085</v>
      </c>
      <c r="H90" s="193">
        <v>0.12</v>
      </c>
      <c r="I90" s="208">
        <v>84</v>
      </c>
      <c r="J90" s="98"/>
      <c r="K90" s="100"/>
      <c r="L90" s="98"/>
      <c r="M90" s="98"/>
      <c r="N90" s="68"/>
    </row>
    <row r="91" spans="1:14" ht="16.5">
      <c r="A91" s="170" t="s">
        <v>3</v>
      </c>
      <c r="B91" s="194">
        <v>0.21</v>
      </c>
      <c r="C91" s="194">
        <v>0.21</v>
      </c>
      <c r="D91" s="195">
        <v>0</v>
      </c>
      <c r="E91" s="194">
        <v>0</v>
      </c>
      <c r="F91" s="194">
        <v>0.5</v>
      </c>
      <c r="G91" s="194">
        <v>0.062</v>
      </c>
      <c r="H91" s="194">
        <v>0.16</v>
      </c>
      <c r="I91" s="208">
        <v>60</v>
      </c>
      <c r="J91" s="98"/>
      <c r="K91" s="100"/>
      <c r="L91" s="98"/>
      <c r="M91" s="98"/>
      <c r="N91" s="68"/>
    </row>
    <row r="92" spans="1:14" ht="16.5">
      <c r="A92" s="170" t="s">
        <v>4</v>
      </c>
      <c r="B92" s="194">
        <v>0.21</v>
      </c>
      <c r="C92" s="194">
        <v>0.21</v>
      </c>
      <c r="D92" s="195">
        <v>0.005</v>
      </c>
      <c r="E92" s="194">
        <v>0.16</v>
      </c>
      <c r="F92" s="194" t="s">
        <v>153</v>
      </c>
      <c r="G92" s="194">
        <v>0.036</v>
      </c>
      <c r="H92" s="194">
        <v>0.08</v>
      </c>
      <c r="I92" s="208">
        <v>24</v>
      </c>
      <c r="J92" s="98"/>
      <c r="K92" s="100"/>
      <c r="L92" s="98"/>
      <c r="M92" s="98"/>
      <c r="N92" s="66"/>
    </row>
    <row r="93" spans="1:14" ht="16.5">
      <c r="A93" s="170" t="s">
        <v>5</v>
      </c>
      <c r="B93" s="192">
        <v>0.055</v>
      </c>
      <c r="C93" s="192">
        <v>0.055</v>
      </c>
      <c r="D93" s="186">
        <v>0.005</v>
      </c>
      <c r="E93" s="185">
        <v>0.085</v>
      </c>
      <c r="F93" s="194" t="s">
        <v>153</v>
      </c>
      <c r="G93" s="194" t="s">
        <v>155</v>
      </c>
      <c r="H93" s="193">
        <v>0.09</v>
      </c>
      <c r="I93" s="208">
        <v>36</v>
      </c>
      <c r="J93" s="73"/>
      <c r="K93" s="73"/>
      <c r="L93" s="73"/>
      <c r="M93" s="61"/>
      <c r="N93" s="68"/>
    </row>
    <row r="94" spans="1:14" ht="16.5">
      <c r="A94" s="170" t="s">
        <v>6</v>
      </c>
      <c r="B94" s="192">
        <v>0</v>
      </c>
      <c r="C94" s="192">
        <v>0</v>
      </c>
      <c r="D94" s="186">
        <v>0</v>
      </c>
      <c r="E94" s="185">
        <v>0</v>
      </c>
      <c r="F94" s="194" t="s">
        <v>156</v>
      </c>
      <c r="G94" s="194" t="s">
        <v>156</v>
      </c>
      <c r="H94" s="193">
        <v>0</v>
      </c>
      <c r="I94" s="208">
        <v>0</v>
      </c>
      <c r="J94" s="73"/>
      <c r="K94" s="73"/>
      <c r="L94" s="73"/>
      <c r="M94" s="61"/>
      <c r="N94" s="68"/>
    </row>
    <row r="95" spans="1:14" ht="16.5">
      <c r="A95" s="170" t="s">
        <v>7</v>
      </c>
      <c r="B95" s="192">
        <v>0</v>
      </c>
      <c r="C95" s="192">
        <v>0</v>
      </c>
      <c r="D95" s="186">
        <v>0</v>
      </c>
      <c r="E95" s="185">
        <v>0</v>
      </c>
      <c r="F95" s="194" t="s">
        <v>156</v>
      </c>
      <c r="G95" s="194" t="s">
        <v>156</v>
      </c>
      <c r="H95" s="193">
        <v>0</v>
      </c>
      <c r="I95" s="208">
        <v>0</v>
      </c>
      <c r="J95" s="73"/>
      <c r="K95" s="73"/>
      <c r="L95" s="73"/>
      <c r="M95" s="61"/>
      <c r="N95" s="68"/>
    </row>
    <row r="96" spans="1:14" ht="16.5">
      <c r="A96" s="170" t="s">
        <v>8</v>
      </c>
      <c r="B96" s="192">
        <v>0</v>
      </c>
      <c r="C96" s="192">
        <v>0</v>
      </c>
      <c r="D96" s="186">
        <v>0</v>
      </c>
      <c r="E96" s="185">
        <v>0</v>
      </c>
      <c r="F96" s="194" t="s">
        <v>156</v>
      </c>
      <c r="G96" s="194" t="s">
        <v>156</v>
      </c>
      <c r="H96" s="193">
        <v>0</v>
      </c>
      <c r="I96" s="208">
        <v>0</v>
      </c>
      <c r="J96" s="73"/>
      <c r="K96" s="73"/>
      <c r="L96" s="73"/>
      <c r="M96" s="61"/>
      <c r="N96" s="68"/>
    </row>
    <row r="97" spans="1:26" s="84" customFormat="1" ht="16.5">
      <c r="A97" s="170" t="s">
        <v>9</v>
      </c>
      <c r="B97" s="192">
        <v>0.42</v>
      </c>
      <c r="C97" s="192">
        <v>0.42</v>
      </c>
      <c r="D97" s="186">
        <v>0</v>
      </c>
      <c r="E97" s="185">
        <v>0</v>
      </c>
      <c r="F97" s="185">
        <v>0.8</v>
      </c>
      <c r="G97" s="185">
        <v>0.015</v>
      </c>
      <c r="H97" s="196">
        <v>0.02</v>
      </c>
      <c r="I97" s="209">
        <v>0</v>
      </c>
      <c r="J97" s="37"/>
      <c r="K97" s="37"/>
      <c r="L97" s="37"/>
      <c r="M97" s="37"/>
      <c r="N97" s="68"/>
      <c r="O97" s="34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84" customFormat="1" ht="16.5">
      <c r="A98" s="170" t="s">
        <v>10</v>
      </c>
      <c r="B98" s="192">
        <v>0.98</v>
      </c>
      <c r="C98" s="192">
        <v>0.99</v>
      </c>
      <c r="D98" s="186">
        <v>0.01</v>
      </c>
      <c r="E98" s="185">
        <v>0.06</v>
      </c>
      <c r="F98" s="185" t="s">
        <v>153</v>
      </c>
      <c r="G98" s="185">
        <v>0.009</v>
      </c>
      <c r="H98" s="196">
        <v>0.01</v>
      </c>
      <c r="I98" s="208">
        <v>2.5</v>
      </c>
      <c r="J98" s="41"/>
      <c r="K98" s="44"/>
      <c r="L98" s="41"/>
      <c r="M98" s="41"/>
      <c r="N98" s="66"/>
      <c r="O98" s="41"/>
      <c r="P98" s="45"/>
      <c r="Q98" s="41"/>
      <c r="R98" s="41"/>
      <c r="S98" s="41"/>
      <c r="T98" s="41"/>
      <c r="U98" s="41"/>
      <c r="V98" s="41"/>
      <c r="W98" s="41"/>
      <c r="X98" s="44"/>
      <c r="Y98" s="41"/>
      <c r="Z98" s="41"/>
    </row>
    <row r="99" spans="1:19" ht="12.75" customHeight="1" hidden="1">
      <c r="A99" s="40"/>
      <c r="B99" s="197"/>
      <c r="C99" s="198"/>
      <c r="D99" s="197"/>
      <c r="E99" s="197"/>
      <c r="F99" s="197"/>
      <c r="G99" s="197"/>
      <c r="H99" s="197"/>
      <c r="I99" s="40"/>
      <c r="J99" s="40"/>
      <c r="K99" s="90"/>
      <c r="L99" s="40"/>
      <c r="M99" s="40"/>
      <c r="N99" s="64"/>
      <c r="O99" s="64"/>
      <c r="P99" s="64"/>
      <c r="Q99" s="64"/>
      <c r="R99" s="64"/>
      <c r="S99" s="7"/>
    </row>
    <row r="100" spans="1:19" ht="12.75" customHeight="1" hidden="1">
      <c r="A100" s="91"/>
      <c r="B100" s="199"/>
      <c r="C100" s="200"/>
      <c r="D100" s="199"/>
      <c r="E100" s="199"/>
      <c r="F100" s="199"/>
      <c r="G100" s="199"/>
      <c r="H100" s="199"/>
      <c r="I100" s="91"/>
      <c r="J100" s="91"/>
      <c r="K100" s="92"/>
      <c r="L100" s="91"/>
      <c r="M100" s="91"/>
      <c r="N100" s="64"/>
      <c r="O100" s="64"/>
      <c r="P100" s="64"/>
      <c r="Q100" s="64"/>
      <c r="R100" s="64"/>
      <c r="S100" s="7"/>
    </row>
    <row r="101" spans="1:19" ht="12.75" customHeight="1" hidden="1">
      <c r="A101" s="40"/>
      <c r="B101" s="197"/>
      <c r="C101" s="198"/>
      <c r="D101" s="197"/>
      <c r="E101" s="197"/>
      <c r="F101" s="197"/>
      <c r="G101" s="197"/>
      <c r="H101" s="197"/>
      <c r="I101" s="40"/>
      <c r="J101" s="40"/>
      <c r="K101" s="46"/>
      <c r="L101" s="40"/>
      <c r="M101" s="40"/>
      <c r="N101" s="65"/>
      <c r="O101" s="64"/>
      <c r="P101" s="64"/>
      <c r="Q101" s="65"/>
      <c r="R101" s="64"/>
      <c r="S101" s="7"/>
    </row>
    <row r="102" spans="1:19" ht="12.75">
      <c r="A102" s="93" t="s">
        <v>154</v>
      </c>
      <c r="B102" s="201">
        <f aca="true" t="shared" si="1" ref="B102:I102">AVERAGE(B87:B98)</f>
        <v>0.4345833333333333</v>
      </c>
      <c r="C102" s="201">
        <f t="shared" si="1"/>
        <v>0.4370833333333333</v>
      </c>
      <c r="D102" s="201">
        <f t="shared" si="1"/>
        <v>0.004166666666666667</v>
      </c>
      <c r="E102" s="201">
        <f t="shared" si="1"/>
        <v>0.05333333333333332</v>
      </c>
      <c r="F102" s="201">
        <f t="shared" si="1"/>
        <v>0.9666666666666668</v>
      </c>
      <c r="G102" s="201">
        <f t="shared" si="1"/>
        <v>0.038</v>
      </c>
      <c r="H102" s="201">
        <f t="shared" si="1"/>
        <v>0.05499999999999999</v>
      </c>
      <c r="I102" s="201">
        <f t="shared" si="1"/>
        <v>25.375</v>
      </c>
      <c r="J102" s="99"/>
      <c r="K102" s="100"/>
      <c r="L102" s="98"/>
      <c r="M102" s="98"/>
      <c r="N102" s="66"/>
      <c r="O102" s="67"/>
      <c r="P102" s="66"/>
      <c r="Q102" s="66"/>
      <c r="R102" s="66"/>
      <c r="S102" s="7"/>
    </row>
    <row r="103" spans="1:25" ht="12.75" customHeight="1">
      <c r="A103" s="93"/>
      <c r="B103" s="94"/>
      <c r="C103" s="95"/>
      <c r="D103" s="95"/>
      <c r="E103" s="95"/>
      <c r="F103" s="95"/>
      <c r="G103" s="95"/>
      <c r="H103" s="98"/>
      <c r="I103" s="98"/>
      <c r="J103" s="99"/>
      <c r="K103" s="100"/>
      <c r="L103" s="98"/>
      <c r="M103" s="98"/>
      <c r="N103" s="64"/>
      <c r="O103" s="67"/>
      <c r="V103" s="11"/>
      <c r="W103" s="11"/>
      <c r="X103" s="11"/>
      <c r="Y103" s="11"/>
    </row>
    <row r="104" spans="1:25" ht="12.75" customHeight="1">
      <c r="A104" s="93"/>
      <c r="B104" s="94"/>
      <c r="C104" s="95"/>
      <c r="D104" s="95"/>
      <c r="E104" s="95"/>
      <c r="F104" s="95"/>
      <c r="G104" s="95"/>
      <c r="H104" s="98"/>
      <c r="I104" s="98"/>
      <c r="J104" s="99"/>
      <c r="K104" s="100"/>
      <c r="L104" s="98"/>
      <c r="M104" s="98"/>
      <c r="N104" s="64"/>
      <c r="O104" s="67"/>
      <c r="V104" s="11"/>
      <c r="W104" s="11"/>
      <c r="X104" s="11"/>
      <c r="Y104" s="11"/>
    </row>
    <row r="105" spans="1:25" ht="12.75" customHeight="1">
      <c r="A105" s="226" t="s">
        <v>117</v>
      </c>
      <c r="B105" s="226"/>
      <c r="C105" s="178"/>
      <c r="D105" s="167"/>
      <c r="E105" s="167"/>
      <c r="F105" s="167"/>
      <c r="G105" s="167"/>
      <c r="H105" s="168"/>
      <c r="I105" s="98"/>
      <c r="J105" s="99"/>
      <c r="K105" s="100"/>
      <c r="L105" s="98"/>
      <c r="M105" s="98"/>
      <c r="N105" s="64"/>
      <c r="O105" s="67"/>
      <c r="V105" s="11"/>
      <c r="W105" s="11"/>
      <c r="X105" s="11"/>
      <c r="Y105" s="11"/>
    </row>
    <row r="106" spans="1:25" ht="16.5">
      <c r="A106" s="167"/>
      <c r="B106" s="179"/>
      <c r="C106" s="179" t="s">
        <v>146</v>
      </c>
      <c r="D106" s="167"/>
      <c r="E106" s="167" t="s">
        <v>147</v>
      </c>
      <c r="F106" s="167" t="s">
        <v>147</v>
      </c>
      <c r="G106" s="167" t="s">
        <v>121</v>
      </c>
      <c r="H106" s="167" t="s">
        <v>148</v>
      </c>
      <c r="I106" s="206" t="s">
        <v>157</v>
      </c>
      <c r="J106" s="99"/>
      <c r="K106" s="100"/>
      <c r="L106" s="99"/>
      <c r="M106" s="98"/>
      <c r="N106" s="66"/>
      <c r="O106" s="67"/>
      <c r="V106" s="11"/>
      <c r="W106" s="11"/>
      <c r="X106" s="11"/>
      <c r="Y106" s="11"/>
    </row>
    <row r="107" spans="1:26" ht="16.5">
      <c r="A107" s="167"/>
      <c r="B107" s="179" t="s">
        <v>12</v>
      </c>
      <c r="C107" s="179" t="s">
        <v>149</v>
      </c>
      <c r="D107" s="167" t="s">
        <v>149</v>
      </c>
      <c r="E107" s="167" t="s">
        <v>150</v>
      </c>
      <c r="F107" s="167" t="s">
        <v>151</v>
      </c>
      <c r="G107" s="167" t="s">
        <v>152</v>
      </c>
      <c r="H107" s="167" t="s">
        <v>151</v>
      </c>
      <c r="I107" s="206" t="s">
        <v>158</v>
      </c>
      <c r="J107" s="99"/>
      <c r="K107" s="100"/>
      <c r="L107" s="98"/>
      <c r="M107" s="98"/>
      <c r="N107" s="71"/>
      <c r="O107" s="67"/>
      <c r="P107" s="17"/>
      <c r="Q107" s="17"/>
      <c r="R107" s="17"/>
      <c r="S107" s="17"/>
      <c r="T107" s="17"/>
      <c r="U107" s="17"/>
      <c r="V107" s="11"/>
      <c r="W107" s="11"/>
      <c r="X107" s="11"/>
      <c r="Y107" s="11"/>
      <c r="Z107" s="17"/>
    </row>
    <row r="108" spans="1:26" ht="16.5">
      <c r="A108" s="169" t="s">
        <v>99</v>
      </c>
      <c r="B108" s="180" t="s">
        <v>37</v>
      </c>
      <c r="C108" s="180" t="s">
        <v>37</v>
      </c>
      <c r="D108" s="169" t="s">
        <v>37</v>
      </c>
      <c r="E108" s="169" t="s">
        <v>36</v>
      </c>
      <c r="F108" s="169" t="s">
        <v>36</v>
      </c>
      <c r="G108" s="169" t="s">
        <v>38</v>
      </c>
      <c r="H108" s="169" t="s">
        <v>38</v>
      </c>
      <c r="I108" s="98"/>
      <c r="J108" s="99"/>
      <c r="K108" s="100"/>
      <c r="L108" s="98"/>
      <c r="M108" s="98"/>
      <c r="N108" s="71"/>
      <c r="O108" s="67"/>
      <c r="P108" s="17"/>
      <c r="Q108" s="17"/>
      <c r="R108" s="17"/>
      <c r="S108" s="17"/>
      <c r="T108" s="17"/>
      <c r="U108" s="17"/>
      <c r="V108" s="11"/>
      <c r="W108" s="11"/>
      <c r="X108" s="11"/>
      <c r="Y108" s="11"/>
      <c r="Z108" s="17"/>
    </row>
    <row r="109" spans="1:25" ht="16.5">
      <c r="A109" s="181" t="s">
        <v>83</v>
      </c>
      <c r="B109" s="189">
        <v>0.3</v>
      </c>
      <c r="C109" s="189">
        <v>0.3</v>
      </c>
      <c r="D109" s="191">
        <v>0.005</v>
      </c>
      <c r="E109" s="190">
        <v>0.18</v>
      </c>
      <c r="F109" s="190" t="s">
        <v>153</v>
      </c>
      <c r="G109" s="191">
        <v>0.0025</v>
      </c>
      <c r="H109" s="202">
        <v>0.01</v>
      </c>
      <c r="I109" s="168">
        <v>2.5</v>
      </c>
      <c r="J109" s="103"/>
      <c r="K109" s="100"/>
      <c r="L109" s="98"/>
      <c r="M109" s="98"/>
      <c r="N109" s="37"/>
      <c r="O109" s="67"/>
      <c r="V109" s="11"/>
      <c r="W109" s="11"/>
      <c r="X109" s="11"/>
      <c r="Y109" s="11"/>
    </row>
    <row r="110" spans="1:26" s="84" customFormat="1" ht="16.5">
      <c r="A110" s="181" t="s">
        <v>0</v>
      </c>
      <c r="B110" s="192">
        <v>0.23</v>
      </c>
      <c r="C110" s="192">
        <v>0.23</v>
      </c>
      <c r="D110" s="186">
        <v>0.005</v>
      </c>
      <c r="E110" s="186">
        <v>0.025</v>
      </c>
      <c r="F110" s="185">
        <v>0.4</v>
      </c>
      <c r="G110" s="185">
        <v>0.008</v>
      </c>
      <c r="H110" s="187">
        <v>0.01</v>
      </c>
      <c r="I110" s="168">
        <v>2.5</v>
      </c>
      <c r="J110" s="103"/>
      <c r="K110" s="100"/>
      <c r="L110" s="98"/>
      <c r="M110" s="98"/>
      <c r="N110" s="40"/>
      <c r="O110" s="67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10"/>
    </row>
    <row r="111" spans="1:25" ht="16.5">
      <c r="A111" s="181" t="s">
        <v>1</v>
      </c>
      <c r="B111" s="192">
        <v>0.19</v>
      </c>
      <c r="C111" s="192">
        <v>0.19</v>
      </c>
      <c r="D111" s="186">
        <v>0.005</v>
      </c>
      <c r="E111" s="185">
        <v>0.025</v>
      </c>
      <c r="F111" s="185" t="s">
        <v>153</v>
      </c>
      <c r="G111" s="186">
        <v>0.0025</v>
      </c>
      <c r="H111" s="187">
        <v>0.01</v>
      </c>
      <c r="I111" s="210">
        <v>2.5</v>
      </c>
      <c r="J111" s="99"/>
      <c r="K111" s="100"/>
      <c r="L111" s="98"/>
      <c r="M111" s="98"/>
      <c r="N111" s="64"/>
      <c r="O111" s="67"/>
      <c r="V111" s="11"/>
      <c r="W111" s="11"/>
      <c r="X111" s="11"/>
      <c r="Y111" s="11"/>
    </row>
    <row r="112" spans="1:26" ht="16.5">
      <c r="A112" s="181" t="s">
        <v>2</v>
      </c>
      <c r="B112" s="192">
        <v>0.23</v>
      </c>
      <c r="C112" s="192">
        <v>0.23</v>
      </c>
      <c r="D112" s="186">
        <v>0</v>
      </c>
      <c r="E112" s="185">
        <v>0.07</v>
      </c>
      <c r="F112" s="185" t="s">
        <v>153</v>
      </c>
      <c r="G112" s="185">
        <v>0.018</v>
      </c>
      <c r="H112" s="187">
        <v>0.005</v>
      </c>
      <c r="I112" s="211">
        <v>6</v>
      </c>
      <c r="J112" s="99"/>
      <c r="K112" s="100"/>
      <c r="L112" s="98"/>
      <c r="M112" s="98"/>
      <c r="N112" s="64"/>
      <c r="O112" s="64"/>
      <c r="P112" s="17"/>
      <c r="Q112" s="13"/>
      <c r="R112" s="17"/>
      <c r="S112" s="144"/>
      <c r="T112" s="144"/>
      <c r="V112" s="11"/>
      <c r="W112" s="11"/>
      <c r="X112" s="11"/>
      <c r="Y112" s="11"/>
      <c r="Z112" s="17"/>
    </row>
    <row r="113" spans="1:19" ht="16.5">
      <c r="A113" s="181" t="s">
        <v>3</v>
      </c>
      <c r="B113" s="192">
        <v>0.13</v>
      </c>
      <c r="C113" s="192">
        <v>0.13</v>
      </c>
      <c r="D113" s="186">
        <v>0</v>
      </c>
      <c r="E113" s="186">
        <v>0</v>
      </c>
      <c r="F113" s="185"/>
      <c r="G113" s="185">
        <v>0.007</v>
      </c>
      <c r="H113" s="187">
        <v>0.02</v>
      </c>
      <c r="I113" s="210">
        <v>2.5</v>
      </c>
      <c r="J113" s="99"/>
      <c r="K113" s="100"/>
      <c r="L113" s="98"/>
      <c r="M113" s="98"/>
      <c r="N113" s="64"/>
      <c r="O113" s="64"/>
      <c r="P113" s="64"/>
      <c r="Q113" s="64"/>
      <c r="R113" s="64"/>
      <c r="S113" s="72"/>
    </row>
    <row r="114" spans="1:19" ht="16.5">
      <c r="A114" s="181" t="s">
        <v>4</v>
      </c>
      <c r="B114" s="192">
        <v>0.11</v>
      </c>
      <c r="C114" s="192">
        <v>0.11</v>
      </c>
      <c r="D114" s="186">
        <v>0.005</v>
      </c>
      <c r="E114" s="186">
        <v>0.025</v>
      </c>
      <c r="F114" s="185" t="s">
        <v>153</v>
      </c>
      <c r="G114" s="185">
        <v>0.009</v>
      </c>
      <c r="H114" s="187">
        <v>0.02</v>
      </c>
      <c r="I114" s="210">
        <v>2.5</v>
      </c>
      <c r="J114" s="99"/>
      <c r="K114" s="100"/>
      <c r="L114" s="98"/>
      <c r="M114" s="98"/>
      <c r="N114" s="64"/>
      <c r="O114" s="64"/>
      <c r="P114" s="64"/>
      <c r="Q114" s="63"/>
      <c r="R114" s="63"/>
      <c r="S114" s="74"/>
    </row>
    <row r="115" spans="1:19" ht="16.5">
      <c r="A115" s="181" t="s">
        <v>5</v>
      </c>
      <c r="B115" s="192">
        <v>0.07</v>
      </c>
      <c r="C115" s="192">
        <v>0.07</v>
      </c>
      <c r="D115" s="186">
        <v>0.005</v>
      </c>
      <c r="E115" s="186">
        <v>0.025</v>
      </c>
      <c r="F115" s="185" t="s">
        <v>153</v>
      </c>
      <c r="G115" s="186">
        <v>0.0025</v>
      </c>
      <c r="H115" s="187">
        <v>0.025</v>
      </c>
      <c r="I115" s="210">
        <v>8</v>
      </c>
      <c r="J115" s="99"/>
      <c r="K115" s="100"/>
      <c r="L115" s="98"/>
      <c r="M115" s="98"/>
      <c r="N115" s="64"/>
      <c r="O115" s="64"/>
      <c r="P115" s="64"/>
      <c r="Q115" s="64"/>
      <c r="R115" s="64"/>
      <c r="S115" s="72"/>
    </row>
    <row r="116" spans="1:27" ht="16.5">
      <c r="A116" s="181" t="s">
        <v>6</v>
      </c>
      <c r="B116" s="192">
        <v>0.15</v>
      </c>
      <c r="C116" s="192">
        <v>0.15</v>
      </c>
      <c r="D116" s="186">
        <v>0.005</v>
      </c>
      <c r="E116" s="186">
        <v>0.025</v>
      </c>
      <c r="F116" s="185" t="s">
        <v>153</v>
      </c>
      <c r="G116" s="185">
        <v>0.007</v>
      </c>
      <c r="H116" s="188">
        <v>0.01</v>
      </c>
      <c r="I116" s="210">
        <v>2.5</v>
      </c>
      <c r="J116" s="64"/>
      <c r="K116" s="64"/>
      <c r="L116" s="61"/>
      <c r="M116" s="75"/>
      <c r="N116" s="64"/>
      <c r="O116" s="64"/>
      <c r="P116" s="34"/>
      <c r="Q116" s="35"/>
      <c r="R116" s="35"/>
      <c r="S116" s="38"/>
      <c r="T116" s="35"/>
      <c r="U116" s="35"/>
      <c r="V116" s="86"/>
      <c r="W116" s="37"/>
      <c r="X116" s="34"/>
      <c r="Y116" s="34"/>
      <c r="Z116" s="37"/>
      <c r="AA116" s="37"/>
    </row>
    <row r="117" spans="1:26" ht="16.5">
      <c r="A117" s="181" t="s">
        <v>7</v>
      </c>
      <c r="B117" s="192">
        <v>0.16</v>
      </c>
      <c r="C117" s="192">
        <v>0.16</v>
      </c>
      <c r="D117" s="186">
        <v>0.005</v>
      </c>
      <c r="E117" s="185">
        <v>0.14</v>
      </c>
      <c r="F117" s="185" t="s">
        <v>153</v>
      </c>
      <c r="G117" s="186">
        <v>0.0025</v>
      </c>
      <c r="H117" s="187">
        <v>0.01</v>
      </c>
      <c r="I117" s="210">
        <v>4</v>
      </c>
      <c r="J117" s="41"/>
      <c r="K117" s="44"/>
      <c r="L117" s="41"/>
      <c r="M117" s="41"/>
      <c r="N117" s="76"/>
      <c r="O117" s="41"/>
      <c r="P117" s="42"/>
      <c r="Q117" s="42"/>
      <c r="R117" s="43"/>
      <c r="S117" s="42"/>
      <c r="T117" s="42"/>
      <c r="U117" s="41"/>
      <c r="V117" s="41"/>
      <c r="W117" s="41"/>
      <c r="X117" s="44"/>
      <c r="Y117" s="41"/>
      <c r="Z117" s="41"/>
    </row>
    <row r="118" spans="1:15" ht="16.5">
      <c r="A118" s="181" t="s">
        <v>8</v>
      </c>
      <c r="B118" s="192">
        <v>0.16</v>
      </c>
      <c r="C118" s="192">
        <v>0.16</v>
      </c>
      <c r="D118" s="186">
        <v>0.005</v>
      </c>
      <c r="E118" s="185">
        <v>0.12</v>
      </c>
      <c r="F118" s="185" t="s">
        <v>153</v>
      </c>
      <c r="G118" s="185">
        <v>0.007</v>
      </c>
      <c r="H118" s="187">
        <v>0.01</v>
      </c>
      <c r="I118" s="210">
        <v>2.5</v>
      </c>
      <c r="J118" s="96"/>
      <c r="K118" s="100"/>
      <c r="L118" s="100"/>
      <c r="M118" s="98"/>
      <c r="N118" s="64"/>
      <c r="O118" s="64"/>
    </row>
    <row r="119" spans="1:26" ht="16.5">
      <c r="A119" s="181" t="s">
        <v>9</v>
      </c>
      <c r="B119" s="192">
        <v>0.32</v>
      </c>
      <c r="C119" s="192">
        <v>0.32</v>
      </c>
      <c r="D119" s="186">
        <v>0</v>
      </c>
      <c r="E119" s="186">
        <v>0</v>
      </c>
      <c r="F119" s="185">
        <v>0.6</v>
      </c>
      <c r="G119" s="185">
        <v>0.013</v>
      </c>
      <c r="H119" s="187">
        <v>0.01</v>
      </c>
      <c r="I119" s="210">
        <v>2.5</v>
      </c>
      <c r="J119" s="96"/>
      <c r="K119" s="100"/>
      <c r="L119" s="100"/>
      <c r="M119" s="98"/>
      <c r="N119" s="66"/>
      <c r="O119" s="64"/>
      <c r="P119" s="144"/>
      <c r="Q119" s="144"/>
      <c r="R119" s="144"/>
      <c r="S119" s="144"/>
      <c r="T119" s="144"/>
      <c r="U119" s="144"/>
      <c r="V119" s="17"/>
      <c r="W119" s="11"/>
      <c r="X119" s="11"/>
      <c r="Y119" s="11"/>
      <c r="Z119" s="144"/>
    </row>
    <row r="120" spans="1:26" ht="16.5">
      <c r="A120" s="181" t="s">
        <v>10</v>
      </c>
      <c r="B120" s="192">
        <v>0.4</v>
      </c>
      <c r="C120" s="192">
        <v>0.4</v>
      </c>
      <c r="D120" s="186">
        <v>0.005</v>
      </c>
      <c r="E120" s="185">
        <v>0.06</v>
      </c>
      <c r="F120" s="185" t="s">
        <v>153</v>
      </c>
      <c r="G120" s="185">
        <v>0.009</v>
      </c>
      <c r="H120" s="187">
        <v>0.01</v>
      </c>
      <c r="I120" s="210">
        <v>2.5</v>
      </c>
      <c r="J120" s="120"/>
      <c r="K120" s="123"/>
      <c r="L120" s="100"/>
      <c r="M120" s="122"/>
      <c r="N120" s="64"/>
      <c r="O120" s="64"/>
      <c r="P120" s="144"/>
      <c r="Q120" s="144"/>
      <c r="R120" s="144"/>
      <c r="S120" s="144"/>
      <c r="T120" s="144"/>
      <c r="U120" s="144"/>
      <c r="V120" s="17"/>
      <c r="W120" s="11"/>
      <c r="X120" s="11"/>
      <c r="Y120" s="11"/>
      <c r="Z120" s="144"/>
    </row>
    <row r="121" spans="1:26" ht="12.75">
      <c r="A121" s="203" t="s">
        <v>154</v>
      </c>
      <c r="B121" s="204">
        <f>AVERAGE(B109:B120)</f>
        <v>0.20416666666666664</v>
      </c>
      <c r="C121" s="204">
        <f aca="true" t="shared" si="2" ref="C121:I121">AVERAGE(C109:C120)</f>
        <v>0.20416666666666664</v>
      </c>
      <c r="D121" s="204">
        <f t="shared" si="2"/>
        <v>0.00375</v>
      </c>
      <c r="E121" s="204">
        <f t="shared" si="2"/>
        <v>0.05791666666666667</v>
      </c>
      <c r="F121" s="204">
        <f t="shared" si="2"/>
        <v>0.5</v>
      </c>
      <c r="G121" s="204">
        <f t="shared" si="2"/>
        <v>0.007333333333333333</v>
      </c>
      <c r="H121" s="204">
        <f t="shared" si="2"/>
        <v>0.012500000000000002</v>
      </c>
      <c r="I121" s="204">
        <f t="shared" si="2"/>
        <v>3.375</v>
      </c>
      <c r="J121" s="96"/>
      <c r="K121" s="100"/>
      <c r="L121" s="100"/>
      <c r="M121" s="98"/>
      <c r="N121" s="64"/>
      <c r="O121" s="64"/>
      <c r="P121" s="144"/>
      <c r="Q121" s="144"/>
      <c r="R121" s="144"/>
      <c r="S121" s="144"/>
      <c r="T121" s="144"/>
      <c r="U121" s="144"/>
      <c r="V121" s="17"/>
      <c r="W121" s="11"/>
      <c r="X121" s="11"/>
      <c r="Y121" s="11"/>
      <c r="Z121" s="144"/>
    </row>
    <row r="122" spans="1:26" ht="12.75">
      <c r="A122" s="93"/>
      <c r="B122" s="94"/>
      <c r="C122" s="96"/>
      <c r="D122" s="96"/>
      <c r="E122" s="101"/>
      <c r="F122" s="96"/>
      <c r="G122" s="96"/>
      <c r="H122" s="96"/>
      <c r="I122" s="98"/>
      <c r="J122" s="96"/>
      <c r="K122" s="100"/>
      <c r="L122" s="100"/>
      <c r="M122" s="98"/>
      <c r="N122" s="64"/>
      <c r="O122" s="64"/>
      <c r="P122" s="144"/>
      <c r="Q122" s="144"/>
      <c r="R122" s="144"/>
      <c r="S122" s="144"/>
      <c r="T122" s="144"/>
      <c r="U122" s="144"/>
      <c r="V122" s="17"/>
      <c r="W122" s="11"/>
      <c r="X122" s="11"/>
      <c r="Y122" s="11"/>
      <c r="Z122" s="144"/>
    </row>
    <row r="123" spans="1:26" ht="12.75">
      <c r="A123" s="118"/>
      <c r="B123" s="119"/>
      <c r="C123" s="120"/>
      <c r="D123" s="120"/>
      <c r="E123" s="121"/>
      <c r="F123" s="120"/>
      <c r="G123" s="120"/>
      <c r="H123" s="120"/>
      <c r="I123" s="122"/>
      <c r="J123" s="120"/>
      <c r="K123" s="100"/>
      <c r="L123" s="100"/>
      <c r="M123" s="122"/>
      <c r="N123" s="7"/>
      <c r="O123" s="64"/>
      <c r="P123" s="144"/>
      <c r="Q123" s="144"/>
      <c r="R123" s="144"/>
      <c r="S123" s="144"/>
      <c r="T123" s="144"/>
      <c r="U123" s="144"/>
      <c r="V123" s="17"/>
      <c r="W123" s="11"/>
      <c r="X123" s="11"/>
      <c r="Y123" s="11"/>
      <c r="Z123" s="144"/>
    </row>
    <row r="124" spans="1:26" ht="16.5">
      <c r="A124" s="224" t="s">
        <v>161</v>
      </c>
      <c r="B124" s="224"/>
      <c r="C124" s="224"/>
      <c r="D124" s="224"/>
      <c r="E124" s="101"/>
      <c r="F124" s="96"/>
      <c r="G124" s="96"/>
      <c r="H124" s="96"/>
      <c r="I124" s="98"/>
      <c r="J124" s="96"/>
      <c r="K124" s="100"/>
      <c r="L124" s="100"/>
      <c r="M124" s="98"/>
      <c r="N124" s="7"/>
      <c r="O124" s="64"/>
      <c r="P124" s="144"/>
      <c r="Q124" s="144"/>
      <c r="R124" s="144"/>
      <c r="S124" s="144"/>
      <c r="T124" s="144"/>
      <c r="U124" s="144"/>
      <c r="V124" s="17"/>
      <c r="W124" s="11"/>
      <c r="X124" s="11"/>
      <c r="Y124" s="11"/>
      <c r="Z124" s="144"/>
    </row>
    <row r="125" spans="1:26" ht="36">
      <c r="A125" s="218"/>
      <c r="B125" s="219" t="s">
        <v>165</v>
      </c>
      <c r="C125" s="219" t="s">
        <v>164</v>
      </c>
      <c r="D125" s="219" t="s">
        <v>13</v>
      </c>
      <c r="E125" s="217" t="s">
        <v>163</v>
      </c>
      <c r="F125" s="96"/>
      <c r="G125" s="96"/>
      <c r="H125" s="96"/>
      <c r="I125" s="98"/>
      <c r="J125" s="96"/>
      <c r="K125" s="100"/>
      <c r="L125" s="100"/>
      <c r="M125" s="98"/>
      <c r="N125" s="34"/>
      <c r="O125" s="64"/>
      <c r="P125" s="144"/>
      <c r="Q125" s="144"/>
      <c r="R125" s="144"/>
      <c r="S125" s="144"/>
      <c r="T125" s="144"/>
      <c r="U125" s="144"/>
      <c r="V125" s="17"/>
      <c r="W125" s="11"/>
      <c r="X125" s="11"/>
      <c r="Y125" s="11"/>
      <c r="Z125" s="144"/>
    </row>
    <row r="126" spans="1:26" ht="16.5">
      <c r="A126" s="182" t="s">
        <v>83</v>
      </c>
      <c r="B126" s="214">
        <v>0.3</v>
      </c>
      <c r="C126" s="214">
        <v>0.003666666666666667</v>
      </c>
      <c r="D126" s="214">
        <v>0.006666666666666667</v>
      </c>
      <c r="E126" s="101">
        <v>3.6666666666666665</v>
      </c>
      <c r="F126" s="96"/>
      <c r="G126" s="96"/>
      <c r="H126" s="96"/>
      <c r="I126" s="98"/>
      <c r="J126" s="96"/>
      <c r="K126" s="100"/>
      <c r="L126" s="100"/>
      <c r="M126" s="98"/>
      <c r="N126" s="37"/>
      <c r="O126" s="64"/>
      <c r="P126" s="144"/>
      <c r="Q126" s="144"/>
      <c r="R126" s="144"/>
      <c r="S126" s="144"/>
      <c r="T126" s="144"/>
      <c r="U126" s="144"/>
      <c r="V126" s="17"/>
      <c r="W126" s="11"/>
      <c r="X126" s="11"/>
      <c r="Y126" s="11"/>
      <c r="Z126" s="144"/>
    </row>
    <row r="127" spans="1:26" ht="16.5">
      <c r="A127" s="182" t="s">
        <v>0</v>
      </c>
      <c r="B127" s="215">
        <v>0.2333333333333333</v>
      </c>
      <c r="C127" s="215">
        <v>0.0025</v>
      </c>
      <c r="D127" s="215">
        <v>0.006666666666666667</v>
      </c>
      <c r="E127" s="121">
        <v>2.5</v>
      </c>
      <c r="F127" s="120"/>
      <c r="G127" s="120"/>
      <c r="H127" s="120"/>
      <c r="I127" s="122"/>
      <c r="J127" s="120"/>
      <c r="K127" s="100"/>
      <c r="L127" s="100"/>
      <c r="M127" s="122"/>
      <c r="N127" s="37"/>
      <c r="O127" s="64"/>
      <c r="P127" s="144"/>
      <c r="Q127" s="144"/>
      <c r="R127" s="144"/>
      <c r="S127" s="144"/>
      <c r="T127" s="144"/>
      <c r="U127" s="144"/>
      <c r="V127" s="17"/>
      <c r="W127" s="11"/>
      <c r="X127" s="11"/>
      <c r="Y127" s="11"/>
      <c r="Z127" s="144"/>
    </row>
    <row r="128" spans="1:26" ht="16.5">
      <c r="A128" s="182" t="s">
        <v>1</v>
      </c>
      <c r="B128" s="214">
        <v>0.475</v>
      </c>
      <c r="C128" s="214">
        <v>0.0025</v>
      </c>
      <c r="D128" s="214">
        <v>0.04</v>
      </c>
      <c r="E128" s="101">
        <v>14.5</v>
      </c>
      <c r="F128" s="96"/>
      <c r="G128" s="96"/>
      <c r="H128" s="96"/>
      <c r="I128" s="98"/>
      <c r="J128" s="96"/>
      <c r="K128" s="100"/>
      <c r="L128" s="100"/>
      <c r="M128" s="98"/>
      <c r="N128" s="40"/>
      <c r="O128" s="64"/>
      <c r="P128" s="144"/>
      <c r="Q128" s="144"/>
      <c r="R128" s="144"/>
      <c r="S128" s="144"/>
      <c r="T128" s="144"/>
      <c r="U128" s="144"/>
      <c r="V128" s="17"/>
      <c r="W128" s="11"/>
      <c r="X128" s="11"/>
      <c r="Y128" s="11"/>
      <c r="Z128" s="144"/>
    </row>
    <row r="129" spans="1:26" ht="16.5">
      <c r="A129" s="182" t="s">
        <v>2</v>
      </c>
      <c r="B129" s="214">
        <v>0.3</v>
      </c>
      <c r="C129" s="214">
        <v>0.010666666666666666</v>
      </c>
      <c r="D129" s="214">
        <v>0.008333333333333333</v>
      </c>
      <c r="E129" s="101">
        <v>2.5</v>
      </c>
      <c r="F129" s="96"/>
      <c r="G129" s="96"/>
      <c r="H129" s="96"/>
      <c r="I129" s="98"/>
      <c r="J129" s="96"/>
      <c r="K129" s="100"/>
      <c r="L129" s="100"/>
      <c r="M129" s="98"/>
      <c r="N129" s="64"/>
      <c r="O129" s="64"/>
      <c r="P129" s="144"/>
      <c r="Q129" s="144"/>
      <c r="R129" s="144"/>
      <c r="S129" s="144"/>
      <c r="T129" s="144"/>
      <c r="U129" s="144"/>
      <c r="V129" s="17"/>
      <c r="W129" s="11"/>
      <c r="X129" s="11"/>
      <c r="Y129" s="11"/>
      <c r="Z129" s="144"/>
    </row>
    <row r="130" spans="1:26" ht="16.5">
      <c r="A130" s="182" t="s">
        <v>3</v>
      </c>
      <c r="B130" s="214">
        <v>0.43333333333333335</v>
      </c>
      <c r="C130" s="214">
        <v>0.005</v>
      </c>
      <c r="D130" s="214">
        <v>0.016666666666666666</v>
      </c>
      <c r="E130" s="101">
        <v>3.6666666666666665</v>
      </c>
      <c r="F130" s="96"/>
      <c r="G130" s="96"/>
      <c r="H130" s="97"/>
      <c r="I130" s="98"/>
      <c r="J130" s="96"/>
      <c r="K130" s="100"/>
      <c r="L130" s="100"/>
      <c r="M130" s="98"/>
      <c r="N130" s="64"/>
      <c r="O130" s="64"/>
      <c r="P130" s="144"/>
      <c r="Q130" s="144"/>
      <c r="R130" s="144"/>
      <c r="S130" s="144"/>
      <c r="T130" s="144"/>
      <c r="U130" s="144"/>
      <c r="V130" s="17"/>
      <c r="W130" s="11"/>
      <c r="X130" s="11"/>
      <c r="Y130" s="11"/>
      <c r="Z130" s="144"/>
    </row>
    <row r="131" spans="1:15" ht="16.5">
      <c r="A131" s="182" t="s">
        <v>4</v>
      </c>
      <c r="B131" s="214">
        <v>0.0875</v>
      </c>
      <c r="C131" s="214">
        <v>0.003125</v>
      </c>
      <c r="D131" s="214">
        <v>0.02</v>
      </c>
      <c r="E131" s="101">
        <v>4.25</v>
      </c>
      <c r="F131" s="96"/>
      <c r="G131" s="96"/>
      <c r="H131" s="97"/>
      <c r="I131" s="98"/>
      <c r="J131" s="96"/>
      <c r="K131" s="100"/>
      <c r="L131" s="100"/>
      <c r="M131" s="98"/>
      <c r="N131" s="64"/>
      <c r="O131" s="64"/>
    </row>
    <row r="132" spans="1:15" ht="16.5">
      <c r="A132" s="182" t="s">
        <v>5</v>
      </c>
      <c r="B132" s="215">
        <v>0.34285714285714286</v>
      </c>
      <c r="C132" s="215">
        <v>0.0095</v>
      </c>
      <c r="D132" s="215">
        <v>0.04</v>
      </c>
      <c r="E132" s="121">
        <v>7.571428571428571</v>
      </c>
      <c r="F132" s="120"/>
      <c r="G132" s="120"/>
      <c r="H132" s="120"/>
      <c r="I132" s="122"/>
      <c r="J132" s="120"/>
      <c r="K132" s="100"/>
      <c r="L132" s="100"/>
      <c r="M132" s="122"/>
      <c r="N132" s="64"/>
      <c r="O132" s="64"/>
    </row>
    <row r="133" spans="1:15" ht="16.5">
      <c r="A133" s="182" t="s">
        <v>6</v>
      </c>
      <c r="B133" s="214">
        <v>0</v>
      </c>
      <c r="C133" s="214">
        <v>0.007416666666666666</v>
      </c>
      <c r="D133" s="214">
        <v>0.0225</v>
      </c>
      <c r="E133" s="101">
        <v>6.583333333333333</v>
      </c>
      <c r="F133" s="96"/>
      <c r="G133" s="96"/>
      <c r="H133" s="96"/>
      <c r="I133" s="98"/>
      <c r="J133" s="96"/>
      <c r="K133" s="100"/>
      <c r="L133" s="100"/>
      <c r="M133" s="98"/>
      <c r="N133" s="64"/>
      <c r="O133" s="64"/>
    </row>
    <row r="134" spans="1:15" ht="12" customHeight="1">
      <c r="A134" s="182" t="s">
        <v>7</v>
      </c>
      <c r="B134" s="214">
        <v>0.3666666666666667</v>
      </c>
      <c r="C134" s="214">
        <v>0.008333333333333333</v>
      </c>
      <c r="D134" s="214">
        <v>0.02666666666666667</v>
      </c>
      <c r="E134" s="101">
        <v>4.916666666666667</v>
      </c>
      <c r="F134" s="96"/>
      <c r="G134" s="96"/>
      <c r="H134" s="96"/>
      <c r="I134" s="98"/>
      <c r="J134" s="96"/>
      <c r="K134" s="100"/>
      <c r="L134" s="100"/>
      <c r="M134" s="98"/>
      <c r="N134" s="64"/>
      <c r="O134" s="64"/>
    </row>
    <row r="135" spans="1:15" ht="16.5">
      <c r="A135" s="182" t="s">
        <v>8</v>
      </c>
      <c r="B135" s="214">
        <v>0.4</v>
      </c>
      <c r="C135" s="214">
        <v>0.009</v>
      </c>
      <c r="D135" s="216">
        <v>0.03</v>
      </c>
      <c r="E135" s="125">
        <v>5</v>
      </c>
      <c r="F135" s="124"/>
      <c r="G135" s="124"/>
      <c r="H135" s="96"/>
      <c r="I135" s="98"/>
      <c r="J135" s="96"/>
      <c r="K135" s="100"/>
      <c r="L135" s="100"/>
      <c r="M135" s="98"/>
      <c r="N135" s="64"/>
      <c r="O135" s="64"/>
    </row>
    <row r="136" spans="1:15" ht="16.5">
      <c r="A136" s="182" t="s">
        <v>9</v>
      </c>
      <c r="B136" s="215">
        <v>0.5666666666666668</v>
      </c>
      <c r="C136" s="215">
        <v>0.0225</v>
      </c>
      <c r="D136" s="215">
        <v>0.03333333333333333</v>
      </c>
      <c r="E136" s="121">
        <v>13.333333333333334</v>
      </c>
      <c r="F136" s="120"/>
      <c r="G136" s="120"/>
      <c r="H136" s="120"/>
      <c r="I136" s="122"/>
      <c r="J136" s="120"/>
      <c r="K136" s="123"/>
      <c r="L136" s="123"/>
      <c r="M136" s="122"/>
      <c r="N136" s="64"/>
      <c r="O136" s="64"/>
    </row>
    <row r="137" spans="1:15" ht="16.5">
      <c r="A137" s="182" t="s">
        <v>10</v>
      </c>
      <c r="B137" s="214"/>
      <c r="C137" s="214"/>
      <c r="D137" s="214"/>
      <c r="E137" s="101"/>
      <c r="F137" s="96"/>
      <c r="G137" s="96"/>
      <c r="H137" s="96"/>
      <c r="I137" s="98"/>
      <c r="J137" s="96"/>
      <c r="K137" s="100"/>
      <c r="L137" s="100"/>
      <c r="M137" s="98"/>
      <c r="N137" s="73" t="e">
        <f>AVERAGE(H141:H160)</f>
        <v>#DIV/0!</v>
      </c>
      <c r="O137" s="62"/>
    </row>
    <row r="138" spans="1:15" ht="16.5">
      <c r="A138" s="213" t="s">
        <v>162</v>
      </c>
      <c r="B138" s="214">
        <v>0.3186688311688312</v>
      </c>
      <c r="C138" s="214">
        <v>0.00765530303030303</v>
      </c>
      <c r="D138" s="214">
        <v>0.022803030303030304</v>
      </c>
      <c r="E138" s="214">
        <v>0.022803030303030304</v>
      </c>
      <c r="F138" s="96"/>
      <c r="G138" s="96"/>
      <c r="H138" s="96"/>
      <c r="I138" s="98"/>
      <c r="J138" s="96"/>
      <c r="K138" s="100"/>
      <c r="L138" s="100"/>
      <c r="M138" s="98"/>
      <c r="N138" s="76"/>
      <c r="O138" s="76"/>
    </row>
    <row r="139" spans="1:15" ht="12.75">
      <c r="A139" s="93"/>
      <c r="B139" s="94"/>
      <c r="C139" s="96"/>
      <c r="D139" s="96"/>
      <c r="E139" s="101"/>
      <c r="F139" s="96"/>
      <c r="G139" s="96"/>
      <c r="H139" s="96"/>
      <c r="I139" s="98"/>
      <c r="J139" s="96"/>
      <c r="K139" s="100"/>
      <c r="L139" s="100"/>
      <c r="M139" s="98"/>
      <c r="N139" s="64"/>
      <c r="O139" s="64"/>
    </row>
    <row r="140" spans="1:15" ht="12.75">
      <c r="A140" s="118"/>
      <c r="B140" s="119"/>
      <c r="C140" s="120"/>
      <c r="D140" s="120"/>
      <c r="E140" s="121"/>
      <c r="F140" s="120"/>
      <c r="G140" s="120"/>
      <c r="H140" s="120"/>
      <c r="I140" s="122"/>
      <c r="J140" s="120"/>
      <c r="K140" s="123"/>
      <c r="L140" s="123"/>
      <c r="M140" s="122"/>
      <c r="N140" s="62"/>
      <c r="O140" s="62"/>
    </row>
    <row r="141" spans="1:15" ht="12.75">
      <c r="A141" s="126"/>
      <c r="B141" s="127"/>
      <c r="C141" s="124"/>
      <c r="D141" s="124"/>
      <c r="E141" s="125"/>
      <c r="F141" s="124"/>
      <c r="G141" s="124"/>
      <c r="H141" s="124"/>
      <c r="I141" s="128"/>
      <c r="J141" s="124"/>
      <c r="K141" s="129"/>
      <c r="L141" s="129"/>
      <c r="M141" s="128"/>
      <c r="N141" s="64"/>
      <c r="O141" s="64"/>
    </row>
    <row r="142" spans="1:15" ht="12.75">
      <c r="A142" s="126"/>
      <c r="B142" s="127"/>
      <c r="C142" s="124"/>
      <c r="D142" s="124"/>
      <c r="E142" s="125"/>
      <c r="F142" s="124"/>
      <c r="G142" s="124"/>
      <c r="H142" s="124"/>
      <c r="I142" s="128"/>
      <c r="J142" s="124"/>
      <c r="K142" s="129"/>
      <c r="L142" s="129"/>
      <c r="M142" s="128"/>
      <c r="N142" s="64"/>
      <c r="O142" s="64"/>
    </row>
    <row r="143" spans="1:15" ht="12.75">
      <c r="A143" s="118"/>
      <c r="B143" s="119"/>
      <c r="C143" s="120"/>
      <c r="D143" s="120"/>
      <c r="E143" s="121"/>
      <c r="F143" s="120"/>
      <c r="G143" s="120"/>
      <c r="H143" s="120"/>
      <c r="I143" s="122"/>
      <c r="J143" s="120"/>
      <c r="K143" s="123"/>
      <c r="L143" s="123"/>
      <c r="M143" s="128"/>
      <c r="N143" s="62"/>
      <c r="O143" s="62"/>
    </row>
    <row r="144" spans="1:15" ht="12.75">
      <c r="A144" s="93"/>
      <c r="B144" s="94"/>
      <c r="C144" s="96"/>
      <c r="D144" s="96"/>
      <c r="E144" s="101"/>
      <c r="F144" s="96"/>
      <c r="G144" s="96"/>
      <c r="H144" s="96"/>
      <c r="I144" s="98"/>
      <c r="J144" s="96"/>
      <c r="K144" s="100"/>
      <c r="L144" s="100"/>
      <c r="M144" s="128"/>
      <c r="N144" s="64"/>
      <c r="O144" s="64"/>
    </row>
    <row r="145" spans="1:15" ht="12.75">
      <c r="A145" s="93"/>
      <c r="B145" s="94"/>
      <c r="C145" s="96"/>
      <c r="D145" s="96"/>
      <c r="E145" s="101"/>
      <c r="F145" s="96"/>
      <c r="G145" s="96"/>
      <c r="H145" s="96"/>
      <c r="I145" s="100"/>
      <c r="J145" s="96"/>
      <c r="K145" s="100"/>
      <c r="L145" s="100"/>
      <c r="M145" s="128"/>
      <c r="N145" s="64"/>
      <c r="O145" s="64"/>
    </row>
    <row r="146" spans="1:15" ht="12.75">
      <c r="A146" s="118"/>
      <c r="B146" s="119"/>
      <c r="C146" s="120"/>
      <c r="D146" s="120"/>
      <c r="E146" s="121"/>
      <c r="F146" s="120"/>
      <c r="G146" s="120"/>
      <c r="H146" s="120"/>
      <c r="I146" s="122"/>
      <c r="J146" s="120"/>
      <c r="K146" s="123"/>
      <c r="L146" s="123"/>
      <c r="M146" s="122"/>
      <c r="N146" s="64"/>
      <c r="O146" s="64"/>
    </row>
    <row r="147" spans="1:15" ht="12.75">
      <c r="A147" s="93"/>
      <c r="B147" s="94"/>
      <c r="C147" s="96"/>
      <c r="D147" s="96"/>
      <c r="E147" s="101"/>
      <c r="F147" s="96"/>
      <c r="G147" s="96"/>
      <c r="H147" s="96"/>
      <c r="I147" s="98"/>
      <c r="J147" s="96"/>
      <c r="K147" s="100"/>
      <c r="L147" s="100"/>
      <c r="M147" s="98"/>
      <c r="N147" s="80"/>
      <c r="O147" s="79"/>
    </row>
    <row r="148" spans="1:15" ht="12.75">
      <c r="A148" s="93"/>
      <c r="B148" s="94"/>
      <c r="C148" s="96"/>
      <c r="D148" s="96"/>
      <c r="E148" s="101"/>
      <c r="F148" s="96"/>
      <c r="G148" s="96"/>
      <c r="H148" s="96"/>
      <c r="I148" s="98"/>
      <c r="J148" s="96"/>
      <c r="K148" s="100"/>
      <c r="L148" s="100"/>
      <c r="M148" s="98"/>
      <c r="N148" s="63"/>
      <c r="O148" s="63"/>
    </row>
    <row r="149" spans="1:15" ht="12.75">
      <c r="A149" s="118"/>
      <c r="B149" s="119"/>
      <c r="C149" s="120"/>
      <c r="D149" s="120"/>
      <c r="E149" s="121"/>
      <c r="F149" s="120"/>
      <c r="G149" s="120"/>
      <c r="H149" s="120"/>
      <c r="I149" s="122"/>
      <c r="J149" s="120"/>
      <c r="K149" s="123"/>
      <c r="L149" s="123"/>
      <c r="M149" s="122"/>
      <c r="N149" s="40"/>
      <c r="O149" s="40"/>
    </row>
    <row r="150" spans="1:15" ht="12.75">
      <c r="A150" s="93"/>
      <c r="B150" s="94"/>
      <c r="C150" s="96"/>
      <c r="D150" s="96"/>
      <c r="E150" s="101"/>
      <c r="F150" s="96"/>
      <c r="G150" s="96"/>
      <c r="H150" s="96"/>
      <c r="I150" s="98"/>
      <c r="J150" s="96"/>
      <c r="K150" s="100"/>
      <c r="L150" s="100"/>
      <c r="M150" s="98"/>
      <c r="N150" s="57"/>
      <c r="O150" s="57"/>
    </row>
    <row r="151" spans="1:15" ht="12.75">
      <c r="A151" s="93"/>
      <c r="B151" s="95"/>
      <c r="C151" s="96"/>
      <c r="D151" s="96"/>
      <c r="E151" s="101"/>
      <c r="F151" s="96"/>
      <c r="G151" s="96"/>
      <c r="H151" s="96"/>
      <c r="I151" s="98"/>
      <c r="J151" s="96"/>
      <c r="K151" s="100"/>
      <c r="L151" s="100"/>
      <c r="M151" s="98"/>
      <c r="N151" s="40"/>
      <c r="O151" s="40"/>
    </row>
    <row r="152" spans="1:15" ht="12.75">
      <c r="A152" s="93"/>
      <c r="B152" s="94"/>
      <c r="C152" s="96"/>
      <c r="D152" s="96"/>
      <c r="E152" s="101"/>
      <c r="F152" s="96"/>
      <c r="G152" s="96"/>
      <c r="H152" s="96"/>
      <c r="I152" s="98"/>
      <c r="J152" s="96"/>
      <c r="K152" s="100"/>
      <c r="L152" s="100"/>
      <c r="M152" s="98"/>
      <c r="N152" s="40"/>
      <c r="O152" s="40"/>
    </row>
    <row r="153" spans="1:15" ht="12.75">
      <c r="A153" s="118"/>
      <c r="B153" s="119"/>
      <c r="C153" s="120"/>
      <c r="D153" s="120"/>
      <c r="E153" s="121"/>
      <c r="F153" s="120"/>
      <c r="G153" s="120"/>
      <c r="H153" s="120"/>
      <c r="I153" s="122"/>
      <c r="J153" s="120"/>
      <c r="K153" s="100"/>
      <c r="L153" s="100"/>
      <c r="M153" s="98"/>
      <c r="N153" s="68"/>
      <c r="O153" s="68"/>
    </row>
    <row r="154" spans="1:15" ht="12.75">
      <c r="A154" s="93"/>
      <c r="B154" s="94"/>
      <c r="C154" s="96"/>
      <c r="D154" s="96"/>
      <c r="E154" s="101"/>
      <c r="F154" s="96"/>
      <c r="G154" s="96"/>
      <c r="H154" s="96"/>
      <c r="I154" s="98"/>
      <c r="J154" s="96"/>
      <c r="K154" s="100"/>
      <c r="L154" s="100"/>
      <c r="M154" s="98"/>
      <c r="N154" s="68"/>
      <c r="O154" s="68"/>
    </row>
    <row r="155" spans="1:15" ht="12.75">
      <c r="A155" s="93"/>
      <c r="B155" s="94"/>
      <c r="C155" s="96"/>
      <c r="D155" s="96"/>
      <c r="E155" s="101"/>
      <c r="F155" s="96"/>
      <c r="G155" s="96"/>
      <c r="H155" s="96"/>
      <c r="I155" s="98"/>
      <c r="J155" s="96"/>
      <c r="K155" s="100"/>
      <c r="L155" s="100"/>
      <c r="M155" s="98"/>
      <c r="N155" s="68"/>
      <c r="O155" s="68"/>
    </row>
    <row r="156" spans="1:15" ht="12.75">
      <c r="A156" s="93"/>
      <c r="B156" s="95"/>
      <c r="C156" s="96"/>
      <c r="D156" s="96"/>
      <c r="E156" s="101"/>
      <c r="F156" s="96"/>
      <c r="G156" s="96"/>
      <c r="H156" s="96"/>
      <c r="I156" s="98"/>
      <c r="J156" s="96"/>
      <c r="K156" s="100"/>
      <c r="L156" s="100"/>
      <c r="M156" s="98"/>
      <c r="N156" s="137"/>
      <c r="O156" s="68"/>
    </row>
    <row r="157" spans="1:15" ht="12.75">
      <c r="A157" s="118"/>
      <c r="B157" s="119"/>
      <c r="C157" s="120"/>
      <c r="D157" s="120"/>
      <c r="E157" s="121"/>
      <c r="F157" s="120"/>
      <c r="G157" s="120"/>
      <c r="H157" s="120"/>
      <c r="I157" s="122"/>
      <c r="J157" s="120"/>
      <c r="K157" s="123"/>
      <c r="L157" s="123"/>
      <c r="M157" s="122"/>
      <c r="N157" s="138"/>
      <c r="O157" s="47"/>
    </row>
    <row r="158" spans="1:15" ht="12.75">
      <c r="A158" s="93"/>
      <c r="B158" s="94"/>
      <c r="C158" s="96"/>
      <c r="D158" s="96"/>
      <c r="E158" s="101"/>
      <c r="F158" s="96"/>
      <c r="G158" s="96"/>
      <c r="H158" s="96"/>
      <c r="I158" s="98"/>
      <c r="J158" s="96"/>
      <c r="K158" s="100"/>
      <c r="L158" s="100"/>
      <c r="M158" s="98"/>
      <c r="N158" s="47"/>
      <c r="O158" s="47"/>
    </row>
    <row r="159" spans="1:15" ht="12.75">
      <c r="A159" s="93"/>
      <c r="B159" s="94"/>
      <c r="C159" s="96"/>
      <c r="D159" s="96"/>
      <c r="E159" s="101"/>
      <c r="F159" s="96"/>
      <c r="G159" s="96"/>
      <c r="H159" s="96"/>
      <c r="I159" s="98"/>
      <c r="J159" s="96"/>
      <c r="K159" s="100"/>
      <c r="L159" s="100"/>
      <c r="M159" s="98"/>
      <c r="N159" s="47"/>
      <c r="O159" s="47"/>
    </row>
    <row r="160" spans="1:15" ht="12.75">
      <c r="A160" s="118"/>
      <c r="B160" s="119"/>
      <c r="C160" s="120"/>
      <c r="D160" s="120"/>
      <c r="E160" s="121"/>
      <c r="F160" s="120"/>
      <c r="G160" s="120"/>
      <c r="H160" s="120"/>
      <c r="I160" s="122"/>
      <c r="J160" s="120"/>
      <c r="K160" s="123"/>
      <c r="L160" s="123"/>
      <c r="M160" s="122"/>
      <c r="N160" s="47"/>
      <c r="O160" s="47"/>
    </row>
    <row r="161" spans="1:15" ht="12.75">
      <c r="A161" s="93"/>
      <c r="B161" s="94"/>
      <c r="C161" s="96"/>
      <c r="D161" s="96"/>
      <c r="E161" s="101"/>
      <c r="F161" s="96"/>
      <c r="G161" s="96"/>
      <c r="H161" s="96"/>
      <c r="I161" s="98"/>
      <c r="J161" s="96"/>
      <c r="K161" s="100"/>
      <c r="L161" s="100"/>
      <c r="M161" s="98"/>
      <c r="N161" s="139"/>
      <c r="O161" s="139"/>
    </row>
    <row r="162" spans="1:15" ht="12.75">
      <c r="A162" s="93"/>
      <c r="B162" s="95"/>
      <c r="C162" s="96"/>
      <c r="D162" s="96"/>
      <c r="E162" s="101"/>
      <c r="F162" s="96"/>
      <c r="G162" s="96"/>
      <c r="H162" s="96"/>
      <c r="I162" s="98"/>
      <c r="J162" s="96"/>
      <c r="K162" s="100"/>
      <c r="L162" s="100"/>
      <c r="M162" s="98"/>
      <c r="N162" s="7"/>
      <c r="O162" s="7"/>
    </row>
    <row r="163" spans="1:15" ht="12.75">
      <c r="A163" s="93"/>
      <c r="B163" s="94"/>
      <c r="C163" s="96"/>
      <c r="D163" s="96"/>
      <c r="E163" s="101"/>
      <c r="F163" s="96"/>
      <c r="G163" s="96"/>
      <c r="H163" s="96"/>
      <c r="I163" s="98"/>
      <c r="J163" s="96"/>
      <c r="K163" s="100"/>
      <c r="L163" s="100"/>
      <c r="M163" s="98"/>
      <c r="N163" s="7"/>
      <c r="O163" s="7"/>
    </row>
    <row r="164" spans="1:15" ht="12.75">
      <c r="A164" s="118"/>
      <c r="B164" s="119"/>
      <c r="C164" s="120"/>
      <c r="D164" s="120"/>
      <c r="E164" s="121"/>
      <c r="F164" s="120"/>
      <c r="G164" s="120"/>
      <c r="H164" s="120"/>
      <c r="I164" s="122"/>
      <c r="J164" s="120"/>
      <c r="K164" s="123"/>
      <c r="L164" s="123"/>
      <c r="M164" s="122"/>
      <c r="N164" s="7"/>
      <c r="O164" s="7"/>
    </row>
    <row r="165" spans="1:15" ht="12.75">
      <c r="A165" s="93"/>
      <c r="B165" s="94"/>
      <c r="C165" s="96"/>
      <c r="D165" s="96"/>
      <c r="E165" s="101"/>
      <c r="F165" s="96"/>
      <c r="G165" s="96"/>
      <c r="H165" s="96"/>
      <c r="I165" s="98"/>
      <c r="J165" s="96"/>
      <c r="K165" s="100"/>
      <c r="L165" s="100"/>
      <c r="M165" s="98"/>
      <c r="N165" s="7"/>
      <c r="O165" s="7"/>
    </row>
    <row r="166" spans="1:15" ht="12.75">
      <c r="A166" s="93"/>
      <c r="B166" s="94"/>
      <c r="C166" s="96"/>
      <c r="D166" s="96"/>
      <c r="E166" s="101"/>
      <c r="F166" s="96"/>
      <c r="G166" s="96"/>
      <c r="H166" s="96"/>
      <c r="I166" s="98"/>
      <c r="J166" s="96"/>
      <c r="K166" s="100"/>
      <c r="L166" s="100"/>
      <c r="M166" s="98"/>
      <c r="N166" s="7"/>
      <c r="O166" s="7"/>
    </row>
    <row r="167" spans="1:15" ht="12.75">
      <c r="A167" s="118"/>
      <c r="B167" s="119"/>
      <c r="C167" s="120"/>
      <c r="D167" s="120"/>
      <c r="E167" s="121"/>
      <c r="F167" s="120"/>
      <c r="G167" s="120"/>
      <c r="H167" s="120"/>
      <c r="I167" s="122"/>
      <c r="J167" s="120"/>
      <c r="K167" s="100"/>
      <c r="L167" s="123"/>
      <c r="M167" s="98"/>
      <c r="N167" s="7"/>
      <c r="O167" s="7"/>
    </row>
    <row r="168" spans="1:15" ht="12.75">
      <c r="A168" s="93"/>
      <c r="B168" s="94"/>
      <c r="C168" s="96"/>
      <c r="D168" s="96"/>
      <c r="E168" s="101"/>
      <c r="F168" s="96"/>
      <c r="G168" s="96"/>
      <c r="H168" s="96"/>
      <c r="I168" s="98"/>
      <c r="J168" s="96"/>
      <c r="K168" s="100"/>
      <c r="L168" s="123"/>
      <c r="M168" s="98"/>
      <c r="N168" s="7"/>
      <c r="O168" s="7"/>
    </row>
    <row r="169" spans="1:15" ht="12.75">
      <c r="A169" s="93"/>
      <c r="B169" s="94"/>
      <c r="C169" s="96"/>
      <c r="D169" s="96"/>
      <c r="E169" s="101"/>
      <c r="F169" s="96"/>
      <c r="G169" s="96"/>
      <c r="H169" s="96"/>
      <c r="I169" s="98"/>
      <c r="J169" s="96"/>
      <c r="K169" s="100"/>
      <c r="L169" s="123"/>
      <c r="M169" s="98"/>
      <c r="N169" s="7"/>
      <c r="O169" s="7"/>
    </row>
    <row r="170" spans="1:15" ht="12.75">
      <c r="A170" s="118"/>
      <c r="B170" s="119"/>
      <c r="C170" s="120"/>
      <c r="D170" s="120"/>
      <c r="E170" s="121"/>
      <c r="F170" s="120"/>
      <c r="G170" s="120"/>
      <c r="H170" s="120"/>
      <c r="I170" s="122"/>
      <c r="J170" s="120"/>
      <c r="K170" s="123"/>
      <c r="L170" s="100"/>
      <c r="M170" s="98"/>
      <c r="N170" s="7"/>
      <c r="O170" s="7"/>
    </row>
    <row r="171" spans="1:15" ht="12.75">
      <c r="A171" s="89"/>
      <c r="B171" s="89"/>
      <c r="C171" s="130"/>
      <c r="D171" s="130"/>
      <c r="E171" s="130"/>
      <c r="F171" s="130"/>
      <c r="G171" s="130"/>
      <c r="H171" s="130"/>
      <c r="I171" s="130"/>
      <c r="J171" s="130"/>
      <c r="K171" s="136"/>
      <c r="L171" s="136"/>
      <c r="M171" s="136"/>
      <c r="N171" s="7"/>
      <c r="O171" s="7"/>
    </row>
    <row r="172" spans="1:19" ht="12.75">
      <c r="A172" s="131"/>
      <c r="B172" s="132"/>
      <c r="C172" s="88"/>
      <c r="D172" s="88"/>
      <c r="E172" s="88"/>
      <c r="F172" s="88"/>
      <c r="G172" s="88"/>
      <c r="H172" s="8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131"/>
      <c r="B173" s="88"/>
      <c r="C173" s="132"/>
      <c r="D173" s="88"/>
      <c r="E173" s="88"/>
      <c r="F173" s="88"/>
      <c r="G173" s="88"/>
      <c r="H173" s="8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131"/>
      <c r="B174" s="88"/>
      <c r="C174" s="171"/>
      <c r="D174" s="171"/>
      <c r="E174" s="88"/>
      <c r="F174" s="88"/>
      <c r="G174" s="88"/>
      <c r="H174" s="8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131"/>
      <c r="B175" s="88"/>
      <c r="C175" s="171"/>
      <c r="D175" s="171"/>
      <c r="E175" s="88"/>
      <c r="F175" s="88"/>
      <c r="G175" s="88"/>
      <c r="H175" s="8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131"/>
      <c r="B176" s="88"/>
      <c r="C176" s="171"/>
      <c r="D176" s="171"/>
      <c r="E176" s="88"/>
      <c r="F176" s="88"/>
      <c r="G176" s="88"/>
      <c r="H176" s="8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88"/>
      <c r="B177" s="88"/>
      <c r="C177" s="171"/>
      <c r="D177" s="171"/>
      <c r="E177" s="88"/>
      <c r="F177" s="88"/>
      <c r="G177" s="88"/>
      <c r="H177" s="88"/>
      <c r="I177" s="88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88"/>
      <c r="B178" s="88"/>
      <c r="C178" s="171"/>
      <c r="D178" s="171"/>
      <c r="E178" s="88"/>
      <c r="F178" s="88"/>
      <c r="G178" s="88"/>
      <c r="H178" s="88"/>
      <c r="I178" s="88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88"/>
      <c r="B179" s="88"/>
      <c r="C179" s="171"/>
      <c r="D179" s="171"/>
      <c r="E179" s="88"/>
      <c r="F179" s="133"/>
      <c r="G179" s="134"/>
      <c r="H179" s="134"/>
      <c r="I179" s="88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88"/>
      <c r="B180" s="88"/>
      <c r="C180" s="171"/>
      <c r="D180" s="171"/>
      <c r="E180" s="88"/>
      <c r="F180" s="135"/>
      <c r="G180" s="132"/>
      <c r="H180" s="132"/>
      <c r="I180" s="88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88"/>
      <c r="B181" s="88"/>
      <c r="C181" s="171"/>
      <c r="D181" s="88"/>
      <c r="E181" s="88"/>
      <c r="F181" s="135"/>
      <c r="G181" s="132"/>
      <c r="H181" s="132"/>
      <c r="I181" s="88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88"/>
      <c r="B182" s="172"/>
      <c r="C182" s="173"/>
      <c r="D182" s="157"/>
      <c r="E182" s="157"/>
      <c r="F182" s="135"/>
      <c r="G182" s="132"/>
      <c r="H182" s="132"/>
      <c r="I182" s="88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88"/>
      <c r="B183" s="172"/>
      <c r="C183" s="172"/>
      <c r="D183" s="88"/>
      <c r="E183" s="88"/>
      <c r="F183" s="135"/>
      <c r="G183" s="132"/>
      <c r="H183" s="132"/>
      <c r="I183" s="88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88"/>
      <c r="B184" s="172"/>
      <c r="C184" s="172"/>
      <c r="D184" s="88"/>
      <c r="E184" s="88"/>
      <c r="F184" s="135"/>
      <c r="G184" s="132"/>
      <c r="H184" s="132"/>
      <c r="I184" s="88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88"/>
      <c r="B185" s="172"/>
      <c r="C185" s="172"/>
      <c r="D185" s="88"/>
      <c r="E185" s="88"/>
      <c r="F185" s="135"/>
      <c r="G185" s="132"/>
      <c r="H185" s="132"/>
      <c r="I185" s="88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88"/>
      <c r="B186" s="88"/>
      <c r="C186" s="132"/>
      <c r="D186" s="88"/>
      <c r="E186" s="88"/>
      <c r="F186" s="135"/>
      <c r="G186" s="132"/>
      <c r="H186" s="132"/>
      <c r="I186" s="88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88"/>
      <c r="B187" s="88"/>
      <c r="C187" s="132"/>
      <c r="D187" s="88"/>
      <c r="E187" s="88"/>
      <c r="F187" s="135"/>
      <c r="G187" s="132"/>
      <c r="H187" s="132"/>
      <c r="I187" s="88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135"/>
      <c r="G188" s="132"/>
      <c r="H188" s="132"/>
      <c r="I188" s="88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135"/>
      <c r="G189" s="132"/>
      <c r="H189" s="132"/>
      <c r="I189" s="88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88"/>
      <c r="G190" s="88"/>
      <c r="H190" s="88"/>
      <c r="I190" s="88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8"/>
      <c r="C200" s="7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81"/>
      <c r="B201" s="78"/>
      <c r="C201" s="7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8"/>
      <c r="C211" s="7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8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34"/>
      <c r="B215" s="34"/>
      <c r="C215" s="38"/>
      <c r="D215" s="36"/>
      <c r="E215" s="38"/>
      <c r="F215" s="34"/>
      <c r="G215" s="35"/>
      <c r="H215" s="35"/>
      <c r="I215" s="56"/>
      <c r="J215" s="34"/>
      <c r="K215" s="56"/>
      <c r="L215" s="56"/>
      <c r="M215" s="34"/>
      <c r="N215" s="34"/>
      <c r="O215" s="37"/>
      <c r="P215" s="56"/>
      <c r="Q215" s="37"/>
      <c r="R215" s="37"/>
      <c r="S215" s="56"/>
    </row>
    <row r="216" spans="1:19" ht="12.75">
      <c r="A216" s="34"/>
      <c r="B216" s="34"/>
      <c r="C216" s="38"/>
      <c r="D216" s="82"/>
      <c r="E216" s="38"/>
      <c r="F216" s="34"/>
      <c r="G216" s="39"/>
      <c r="H216" s="35"/>
      <c r="I216" s="37"/>
      <c r="J216" s="37"/>
      <c r="K216" s="37"/>
      <c r="L216" s="37"/>
      <c r="M216" s="37"/>
      <c r="N216" s="37"/>
      <c r="O216" s="37"/>
      <c r="P216" s="58"/>
      <c r="Q216" s="40"/>
      <c r="R216" s="40"/>
      <c r="S216" s="40"/>
    </row>
    <row r="217" spans="1:19" ht="12.75">
      <c r="A217" s="34"/>
      <c r="B217" s="34"/>
      <c r="C217" s="38"/>
      <c r="D217" s="38"/>
      <c r="E217" s="38"/>
      <c r="F217" s="37"/>
      <c r="G217" s="39"/>
      <c r="H217" s="39"/>
      <c r="I217" s="37"/>
      <c r="J217" s="37"/>
      <c r="K217" s="37"/>
      <c r="L217" s="37"/>
      <c r="M217" s="37"/>
      <c r="N217" s="37"/>
      <c r="O217" s="57"/>
      <c r="P217" s="57"/>
      <c r="Q217" s="57"/>
      <c r="R217" s="57"/>
      <c r="S217" s="57"/>
    </row>
    <row r="218" spans="1:19" ht="12.75">
      <c r="A218" s="41"/>
      <c r="B218" s="41"/>
      <c r="C218" s="43"/>
      <c r="D218" s="43"/>
      <c r="E218" s="43"/>
      <c r="F218" s="41"/>
      <c r="G218" s="42"/>
      <c r="H218" s="42"/>
      <c r="I218" s="41"/>
      <c r="J218" s="41"/>
      <c r="K218" s="41"/>
      <c r="L218" s="41"/>
      <c r="M218" s="44"/>
      <c r="N218" s="41"/>
      <c r="O218" s="41"/>
      <c r="P218" s="41"/>
      <c r="Q218" s="41"/>
      <c r="R218" s="41"/>
      <c r="S218" s="41"/>
    </row>
    <row r="219" spans="1:19" ht="12.75">
      <c r="A219" s="59"/>
      <c r="B219" s="60"/>
      <c r="C219" s="62"/>
      <c r="D219" s="62"/>
      <c r="E219" s="62"/>
      <c r="F219" s="60"/>
      <c r="G219" s="61"/>
      <c r="H219" s="61"/>
      <c r="I219" s="64"/>
      <c r="J219" s="64"/>
      <c r="K219" s="64"/>
      <c r="L219" s="64"/>
      <c r="M219" s="64"/>
      <c r="N219" s="73"/>
      <c r="O219" s="64"/>
      <c r="P219" s="76"/>
      <c r="Q219" s="64"/>
      <c r="R219" s="64"/>
      <c r="S219" s="63"/>
    </row>
    <row r="220" spans="1:19" ht="12.75">
      <c r="A220" s="59"/>
      <c r="B220" s="60"/>
      <c r="C220" s="62"/>
      <c r="D220" s="62"/>
      <c r="E220" s="62"/>
      <c r="F220" s="60"/>
      <c r="G220" s="61"/>
      <c r="H220" s="61"/>
      <c r="I220" s="64"/>
      <c r="J220" s="76"/>
      <c r="K220" s="64"/>
      <c r="L220" s="64"/>
      <c r="M220" s="64"/>
      <c r="N220" s="73"/>
      <c r="O220" s="64"/>
      <c r="P220" s="64"/>
      <c r="Q220" s="64"/>
      <c r="R220" s="64"/>
      <c r="S220" s="63"/>
    </row>
    <row r="221" spans="1:19" ht="12.75">
      <c r="A221" s="59"/>
      <c r="B221" s="60"/>
      <c r="C221" s="62"/>
      <c r="D221" s="62"/>
      <c r="E221" s="62"/>
      <c r="F221" s="60"/>
      <c r="G221" s="61"/>
      <c r="H221" s="61"/>
      <c r="I221" s="64"/>
      <c r="J221" s="64"/>
      <c r="K221" s="64"/>
      <c r="L221" s="64"/>
      <c r="M221" s="64"/>
      <c r="N221" s="73"/>
      <c r="O221" s="64"/>
      <c r="P221" s="64"/>
      <c r="Q221" s="64"/>
      <c r="R221" s="64"/>
      <c r="S221" s="64"/>
    </row>
    <row r="222" spans="1:19" ht="12.75">
      <c r="A222" s="59"/>
      <c r="B222" s="60"/>
      <c r="C222" s="62"/>
      <c r="D222" s="62"/>
      <c r="E222" s="62"/>
      <c r="F222" s="60"/>
      <c r="G222" s="61"/>
      <c r="H222" s="61"/>
      <c r="I222" s="64"/>
      <c r="J222" s="64"/>
      <c r="K222" s="64"/>
      <c r="L222" s="64"/>
      <c r="M222" s="64"/>
      <c r="N222" s="73"/>
      <c r="O222" s="64"/>
      <c r="P222" s="64"/>
      <c r="Q222" s="63"/>
      <c r="R222" s="63"/>
      <c r="S222" s="63"/>
    </row>
    <row r="223" spans="1:19" ht="12.75">
      <c r="A223" s="59"/>
      <c r="B223" s="60"/>
      <c r="C223" s="62"/>
      <c r="D223" s="62"/>
      <c r="E223" s="62"/>
      <c r="F223" s="60"/>
      <c r="G223" s="61"/>
      <c r="H223" s="61"/>
      <c r="I223" s="64"/>
      <c r="J223" s="64"/>
      <c r="K223" s="64"/>
      <c r="L223" s="76"/>
      <c r="M223" s="64"/>
      <c r="N223" s="73"/>
      <c r="O223" s="64"/>
      <c r="P223" s="64"/>
      <c r="Q223" s="64"/>
      <c r="R223" s="64"/>
      <c r="S223" s="76"/>
    </row>
    <row r="224" spans="1:19" ht="12.75">
      <c r="A224" s="59"/>
      <c r="B224" s="60"/>
      <c r="C224" s="62"/>
      <c r="D224" s="62"/>
      <c r="E224" s="62"/>
      <c r="F224" s="60"/>
      <c r="G224" s="61"/>
      <c r="H224" s="61"/>
      <c r="I224" s="64"/>
      <c r="J224" s="64"/>
      <c r="K224" s="64"/>
      <c r="L224" s="64"/>
      <c r="M224" s="64"/>
      <c r="N224" s="73"/>
      <c r="O224" s="64"/>
      <c r="P224" s="64"/>
      <c r="Q224" s="64"/>
      <c r="R224" s="64"/>
      <c r="S224" s="64"/>
    </row>
    <row r="225" spans="1:19" ht="12.75">
      <c r="A225" s="59"/>
      <c r="B225" s="60"/>
      <c r="C225" s="62"/>
      <c r="D225" s="62"/>
      <c r="E225" s="62"/>
      <c r="F225" s="70"/>
      <c r="G225" s="61"/>
      <c r="H225" s="61"/>
      <c r="I225" s="64"/>
      <c r="J225" s="64"/>
      <c r="K225" s="64"/>
      <c r="L225" s="64"/>
      <c r="M225" s="64"/>
      <c r="N225" s="73"/>
      <c r="O225" s="64"/>
      <c r="P225" s="64"/>
      <c r="Q225" s="64"/>
      <c r="R225" s="64"/>
      <c r="S225" s="64"/>
    </row>
    <row r="226" spans="1:19" ht="12.75">
      <c r="A226" s="59"/>
      <c r="B226" s="60"/>
      <c r="C226" s="62"/>
      <c r="D226" s="62"/>
      <c r="E226" s="62"/>
      <c r="F226" s="69"/>
      <c r="G226" s="61"/>
      <c r="H226" s="61"/>
      <c r="I226" s="69"/>
      <c r="J226" s="69"/>
      <c r="K226" s="64"/>
      <c r="L226" s="64"/>
      <c r="M226" s="64"/>
      <c r="N226" s="73"/>
      <c r="O226" s="64"/>
      <c r="P226" s="64"/>
      <c r="Q226" s="64"/>
      <c r="R226" s="64"/>
      <c r="S226" s="64"/>
    </row>
    <row r="227" spans="1:19" ht="12.75">
      <c r="A227" s="59"/>
      <c r="B227" s="60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</row>
    <row r="228" spans="1:19" ht="12.75">
      <c r="A228" s="59"/>
      <c r="B228" s="60"/>
      <c r="C228" s="62"/>
      <c r="D228" s="62"/>
      <c r="E228" s="62"/>
      <c r="F228" s="70"/>
      <c r="G228" s="61"/>
      <c r="H228" s="61"/>
      <c r="I228" s="64"/>
      <c r="J228" s="64"/>
      <c r="K228" s="76"/>
      <c r="L228" s="64"/>
      <c r="M228" s="76"/>
      <c r="N228" s="75"/>
      <c r="O228" s="76"/>
      <c r="P228" s="64"/>
      <c r="Q228" s="64"/>
      <c r="R228" s="64"/>
      <c r="S228" s="64"/>
    </row>
    <row r="229" spans="1:19" ht="12.75">
      <c r="A229" s="59"/>
      <c r="B229" s="60"/>
      <c r="C229" s="62"/>
      <c r="D229" s="62"/>
      <c r="E229" s="62"/>
      <c r="F229" s="70"/>
      <c r="G229" s="61"/>
      <c r="H229" s="61"/>
      <c r="I229" s="70"/>
      <c r="J229" s="70"/>
      <c r="K229" s="64"/>
      <c r="L229" s="64"/>
      <c r="M229" s="64"/>
      <c r="N229" s="73"/>
      <c r="O229" s="64"/>
      <c r="P229" s="64"/>
      <c r="Q229" s="64"/>
      <c r="R229" s="64"/>
      <c r="S229" s="64"/>
    </row>
    <row r="230" spans="1:19" ht="12.75">
      <c r="A230" s="59"/>
      <c r="B230" s="60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</row>
    <row r="231" spans="1:19" ht="12.75" hidden="1">
      <c r="A231" s="59"/>
      <c r="B231" s="60"/>
      <c r="C231" s="62"/>
      <c r="D231" s="62"/>
      <c r="E231" s="62"/>
      <c r="F231" s="70"/>
      <c r="G231" s="61"/>
      <c r="H231" s="61"/>
      <c r="I231" s="64"/>
      <c r="J231" s="64"/>
      <c r="K231" s="64"/>
      <c r="L231" s="64"/>
      <c r="M231" s="64"/>
      <c r="N231" s="73"/>
      <c r="O231" s="64"/>
      <c r="P231" s="64"/>
      <c r="Q231" s="64"/>
      <c r="R231" s="64"/>
      <c r="S231" s="64"/>
    </row>
    <row r="232" spans="1:19" ht="12.75" hidden="1">
      <c r="A232" s="59"/>
      <c r="B232" s="60"/>
      <c r="C232" s="62"/>
      <c r="D232" s="62"/>
      <c r="E232" s="62"/>
      <c r="F232" s="70"/>
      <c r="G232" s="61"/>
      <c r="H232" s="61"/>
      <c r="I232" s="70"/>
      <c r="J232" s="64"/>
      <c r="K232" s="64"/>
      <c r="L232" s="64"/>
      <c r="M232" s="64"/>
      <c r="N232" s="73"/>
      <c r="O232" s="64"/>
      <c r="P232" s="64"/>
      <c r="Q232" s="64"/>
      <c r="R232" s="64"/>
      <c r="S232" s="64"/>
    </row>
    <row r="233" spans="1:19" ht="12.75">
      <c r="A233" s="59"/>
      <c r="B233" s="60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</row>
    <row r="234" spans="1:19" ht="12.75">
      <c r="A234" s="59"/>
      <c r="B234" s="60"/>
      <c r="C234" s="62"/>
      <c r="D234" s="62"/>
      <c r="E234" s="62"/>
      <c r="F234" s="70"/>
      <c r="G234" s="61"/>
      <c r="H234" s="61"/>
      <c r="I234" s="64"/>
      <c r="J234" s="64"/>
      <c r="K234" s="64"/>
      <c r="L234" s="64"/>
      <c r="M234" s="64"/>
      <c r="N234" s="73"/>
      <c r="O234" s="64"/>
      <c r="P234" s="64"/>
      <c r="Q234" s="64"/>
      <c r="R234" s="64"/>
      <c r="S234" s="64"/>
    </row>
    <row r="235" spans="1:19" ht="12.75">
      <c r="A235" s="59"/>
      <c r="B235" s="60"/>
      <c r="C235" s="62"/>
      <c r="D235" s="62"/>
      <c r="E235" s="62"/>
      <c r="F235" s="70"/>
      <c r="G235" s="61"/>
      <c r="H235" s="61"/>
      <c r="I235" s="64"/>
      <c r="J235" s="64"/>
      <c r="K235" s="64"/>
      <c r="L235" s="64"/>
      <c r="M235" s="64"/>
      <c r="N235" s="73"/>
      <c r="O235" s="64"/>
      <c r="P235" s="64"/>
      <c r="Q235" s="64"/>
      <c r="R235" s="64"/>
      <c r="S235" s="64"/>
    </row>
    <row r="236" spans="1:19" ht="12.75">
      <c r="A236" s="59"/>
      <c r="B236" s="60"/>
      <c r="C236" s="62"/>
      <c r="D236" s="62"/>
      <c r="E236" s="62"/>
      <c r="F236" s="70"/>
      <c r="G236" s="61"/>
      <c r="H236" s="61"/>
      <c r="I236" s="64"/>
      <c r="J236" s="64"/>
      <c r="K236" s="64"/>
      <c r="L236" s="64"/>
      <c r="M236" s="64"/>
      <c r="N236" s="73"/>
      <c r="O236" s="64"/>
      <c r="P236" s="64"/>
      <c r="Q236" s="64"/>
      <c r="R236" s="64"/>
      <c r="S236" s="64"/>
    </row>
    <row r="237" spans="1:19" ht="12.75">
      <c r="A237" s="7"/>
      <c r="B237" s="7"/>
      <c r="C237" s="7"/>
      <c r="D237" s="79"/>
      <c r="E237" s="77"/>
      <c r="F237" s="7"/>
      <c r="G237" s="79"/>
      <c r="H237" s="79"/>
      <c r="I237" s="7"/>
      <c r="J237" s="7"/>
      <c r="K237" s="78"/>
      <c r="L237" s="7"/>
      <c r="M237" s="7"/>
      <c r="N237" s="7"/>
      <c r="O237" s="7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</sheetData>
  <mergeCells count="5">
    <mergeCell ref="A124:D124"/>
    <mergeCell ref="F1:G1"/>
    <mergeCell ref="A64:B64"/>
    <mergeCell ref="A83:B83"/>
    <mergeCell ref="A105:B105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H30" sqref="H30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12.7109375" style="0" customWidth="1"/>
  </cols>
  <sheetData>
    <row r="2" spans="1:9" ht="12.75">
      <c r="A2" s="8">
        <v>2000</v>
      </c>
      <c r="B2" s="8" t="s">
        <v>14</v>
      </c>
      <c r="C2" s="8" t="s">
        <v>18</v>
      </c>
      <c r="D2" s="8" t="s">
        <v>89</v>
      </c>
      <c r="E2" s="8"/>
      <c r="F2" s="9"/>
      <c r="G2" s="9"/>
      <c r="H2" s="10"/>
      <c r="I2" s="10"/>
    </row>
    <row r="3" spans="1:9" ht="12.75">
      <c r="A3" s="10"/>
      <c r="B3" s="10" t="s">
        <v>86</v>
      </c>
      <c r="C3" s="10" t="s">
        <v>85</v>
      </c>
      <c r="D3" s="10" t="s">
        <v>84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87</v>
      </c>
      <c r="D4" s="10" t="s">
        <v>88</v>
      </c>
      <c r="E4" s="10"/>
      <c r="F4" s="10"/>
      <c r="G4" s="10"/>
      <c r="H4" s="10"/>
      <c r="I4" s="10"/>
    </row>
    <row r="5" spans="1:9" ht="12.75">
      <c r="A5" s="10" t="s">
        <v>83</v>
      </c>
      <c r="B5" s="25">
        <v>43.3</v>
      </c>
      <c r="C5" s="25">
        <v>35.7</v>
      </c>
      <c r="D5" s="9">
        <v>9.6</v>
      </c>
      <c r="E5" s="10"/>
      <c r="F5" s="10"/>
      <c r="G5" s="10"/>
      <c r="H5" s="10"/>
      <c r="I5" s="10"/>
    </row>
    <row r="6" spans="1:9" ht="12.75">
      <c r="A6" s="10" t="s">
        <v>0</v>
      </c>
      <c r="B6" s="25">
        <v>46.2</v>
      </c>
      <c r="C6" s="25">
        <v>45.8</v>
      </c>
      <c r="D6" s="25">
        <v>10.9</v>
      </c>
      <c r="E6" s="2"/>
      <c r="F6" s="2"/>
      <c r="G6" s="2"/>
      <c r="H6" s="10"/>
      <c r="I6" s="10"/>
    </row>
    <row r="7" spans="1:9" ht="12.75">
      <c r="A7" s="10" t="s">
        <v>1</v>
      </c>
      <c r="B7" s="25">
        <v>46.2</v>
      </c>
      <c r="C7" s="25">
        <v>32.4</v>
      </c>
      <c r="D7" s="25">
        <v>17.5</v>
      </c>
      <c r="E7" s="2"/>
      <c r="F7" s="2"/>
      <c r="G7" s="2"/>
      <c r="H7" s="10"/>
      <c r="I7" s="10"/>
    </row>
    <row r="8" spans="1:9" ht="12.75">
      <c r="A8" s="10" t="s">
        <v>2</v>
      </c>
      <c r="B8" s="25">
        <v>39.8</v>
      </c>
      <c r="C8" s="25">
        <v>32.4</v>
      </c>
      <c r="D8" s="25">
        <v>37.6</v>
      </c>
      <c r="E8" s="4"/>
      <c r="F8" s="4"/>
      <c r="G8" s="4"/>
      <c r="H8" s="10"/>
      <c r="I8" s="10"/>
    </row>
    <row r="9" spans="1:9" ht="12.75">
      <c r="A9" s="10" t="s">
        <v>3</v>
      </c>
      <c r="B9" s="25">
        <v>143</v>
      </c>
      <c r="C9" s="25">
        <v>64.9</v>
      </c>
      <c r="D9" s="25">
        <v>80.2</v>
      </c>
      <c r="E9" s="4"/>
      <c r="F9" s="4"/>
      <c r="G9" s="4"/>
      <c r="H9" s="10"/>
      <c r="I9" s="10"/>
    </row>
    <row r="10" spans="1:9" ht="12.75">
      <c r="A10" s="10" t="s">
        <v>4</v>
      </c>
      <c r="B10" s="25">
        <v>249</v>
      </c>
      <c r="C10" s="25">
        <v>148</v>
      </c>
      <c r="D10" s="25">
        <v>25.3</v>
      </c>
      <c r="E10" s="4"/>
      <c r="F10" s="4"/>
      <c r="G10" s="4"/>
      <c r="H10" s="10"/>
      <c r="I10" s="10"/>
    </row>
    <row r="11" spans="1:9" ht="12.75">
      <c r="A11" s="10" t="s">
        <v>5</v>
      </c>
      <c r="B11" s="25">
        <v>170</v>
      </c>
      <c r="C11" s="25">
        <v>285</v>
      </c>
      <c r="D11" s="25">
        <v>1.86</v>
      </c>
      <c r="E11" s="4"/>
      <c r="F11" s="4"/>
      <c r="G11" s="4"/>
      <c r="H11" s="10"/>
      <c r="I11" s="10"/>
    </row>
    <row r="12" spans="1:9" ht="12.75">
      <c r="A12" s="10" t="s">
        <v>6</v>
      </c>
      <c r="B12" s="25">
        <v>92.7</v>
      </c>
      <c r="C12" s="25">
        <v>69.6</v>
      </c>
      <c r="D12" s="25">
        <v>0.02</v>
      </c>
      <c r="E12" s="4"/>
      <c r="F12" s="4"/>
      <c r="G12" s="4"/>
      <c r="H12" s="10"/>
      <c r="I12" s="10"/>
    </row>
    <row r="13" spans="1:10" ht="20.25">
      <c r="A13" s="10" t="s">
        <v>7</v>
      </c>
      <c r="B13" s="25">
        <v>20.9</v>
      </c>
      <c r="C13" s="25">
        <v>53</v>
      </c>
      <c r="D13" s="25">
        <v>0</v>
      </c>
      <c r="E13" s="227" t="s">
        <v>144</v>
      </c>
      <c r="F13" s="227"/>
      <c r="G13" s="227"/>
      <c r="H13" s="227"/>
      <c r="I13" s="227"/>
      <c r="J13" s="227"/>
    </row>
    <row r="14" spans="1:9" ht="12.75">
      <c r="A14" s="10" t="s">
        <v>8</v>
      </c>
      <c r="B14" s="25">
        <v>0.2</v>
      </c>
      <c r="C14" s="25">
        <v>37.4</v>
      </c>
      <c r="D14" s="25">
        <v>2.49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5">
        <v>1.25</v>
      </c>
      <c r="C15" s="25">
        <v>40.8</v>
      </c>
      <c r="D15" s="25">
        <v>12.8</v>
      </c>
      <c r="E15" s="229">
        <v>2001</v>
      </c>
      <c r="F15" s="233" t="s">
        <v>92</v>
      </c>
      <c r="G15" s="233" t="s">
        <v>93</v>
      </c>
      <c r="H15" s="233" t="s">
        <v>94</v>
      </c>
      <c r="I15" s="228" t="s">
        <v>96</v>
      </c>
      <c r="J15" s="234" t="s">
        <v>97</v>
      </c>
    </row>
    <row r="16" spans="1:10" ht="12.75">
      <c r="A16" s="10" t="s">
        <v>10</v>
      </c>
      <c r="B16" s="25">
        <v>0.13</v>
      </c>
      <c r="C16" s="25">
        <v>47.9</v>
      </c>
      <c r="D16" s="25">
        <v>10.5</v>
      </c>
      <c r="E16" s="229"/>
      <c r="F16" s="233"/>
      <c r="G16" s="233"/>
      <c r="H16" s="233"/>
      <c r="I16" s="228"/>
      <c r="J16" s="234"/>
    </row>
    <row r="17" spans="1:10" ht="12.75">
      <c r="A17" s="10"/>
      <c r="B17" s="9" t="s">
        <v>90</v>
      </c>
      <c r="C17" s="9" t="s">
        <v>90</v>
      </c>
      <c r="D17" s="9" t="s">
        <v>90</v>
      </c>
      <c r="E17" s="229"/>
      <c r="F17" s="230" t="s">
        <v>91</v>
      </c>
      <c r="G17" s="231"/>
      <c r="H17" s="231"/>
      <c r="I17" s="231"/>
      <c r="J17" s="232"/>
    </row>
    <row r="18" spans="1:10" ht="12.75">
      <c r="A18" s="10" t="s">
        <v>83</v>
      </c>
      <c r="B18" s="25">
        <f aca="true" t="shared" si="0" ref="B18:D29">+B5*1.983</f>
        <v>85.8639</v>
      </c>
      <c r="C18" s="25">
        <f t="shared" si="0"/>
        <v>70.79310000000001</v>
      </c>
      <c r="D18" s="25">
        <f t="shared" si="0"/>
        <v>19.0368</v>
      </c>
      <c r="E18" s="29" t="s">
        <v>83</v>
      </c>
      <c r="F18" s="27">
        <f>+C18*31</f>
        <v>2194.5861000000004</v>
      </c>
      <c r="G18" s="27">
        <f>+D18*31</f>
        <v>590.1408</v>
      </c>
      <c r="H18" s="27">
        <f aca="true" t="shared" si="1" ref="H18:H29">SUM(F18:G18)</f>
        <v>2784.7269000000006</v>
      </c>
      <c r="I18" s="28">
        <f>+B18*28</f>
        <v>2404.1892</v>
      </c>
      <c r="J18" s="32">
        <f>H18-I18</f>
        <v>380.53770000000077</v>
      </c>
    </row>
    <row r="19" spans="1:10" ht="12.75">
      <c r="A19" s="10" t="s">
        <v>0</v>
      </c>
      <c r="B19" s="25">
        <f t="shared" si="0"/>
        <v>91.61460000000001</v>
      </c>
      <c r="C19" s="25">
        <f t="shared" si="0"/>
        <v>90.8214</v>
      </c>
      <c r="D19" s="25">
        <f t="shared" si="0"/>
        <v>21.614700000000003</v>
      </c>
      <c r="E19" s="29" t="s">
        <v>0</v>
      </c>
      <c r="F19" s="27">
        <f>+C19*28</f>
        <v>2542.9991999999997</v>
      </c>
      <c r="G19" s="27">
        <f>+D19*28</f>
        <v>605.2116000000001</v>
      </c>
      <c r="H19" s="27">
        <f t="shared" si="1"/>
        <v>3148.2108</v>
      </c>
      <c r="I19" s="28">
        <f>+B19*28</f>
        <v>2565.2088000000003</v>
      </c>
      <c r="J19" s="32">
        <f aca="true" t="shared" si="2" ref="J19:J30">H19-I19</f>
        <v>583.0019999999995</v>
      </c>
    </row>
    <row r="20" spans="1:10" ht="12.75">
      <c r="A20" s="10" t="s">
        <v>1</v>
      </c>
      <c r="B20" s="25">
        <f t="shared" si="0"/>
        <v>91.61460000000001</v>
      </c>
      <c r="C20" s="25">
        <f t="shared" si="0"/>
        <v>64.2492</v>
      </c>
      <c r="D20" s="25">
        <f t="shared" si="0"/>
        <v>34.7025</v>
      </c>
      <c r="E20" s="29" t="s">
        <v>1</v>
      </c>
      <c r="F20" s="27">
        <f>+C20*31</f>
        <v>1991.7252</v>
      </c>
      <c r="G20" s="27">
        <f>+D20*31</f>
        <v>1075.7775</v>
      </c>
      <c r="H20" s="27">
        <f t="shared" si="1"/>
        <v>3067.5027</v>
      </c>
      <c r="I20" s="28">
        <f>+B20*31</f>
        <v>2840.0526000000004</v>
      </c>
      <c r="J20" s="32">
        <f t="shared" si="2"/>
        <v>227.45009999999957</v>
      </c>
    </row>
    <row r="21" spans="1:10" ht="12.75">
      <c r="A21" s="10" t="s">
        <v>2</v>
      </c>
      <c r="B21" s="25">
        <f t="shared" si="0"/>
        <v>78.9234</v>
      </c>
      <c r="C21" s="25">
        <f t="shared" si="0"/>
        <v>64.2492</v>
      </c>
      <c r="D21" s="25">
        <f t="shared" si="0"/>
        <v>74.5608</v>
      </c>
      <c r="E21" s="29" t="s">
        <v>2</v>
      </c>
      <c r="F21" s="27">
        <f>+C21*30</f>
        <v>1927.476</v>
      </c>
      <c r="G21" s="27">
        <f>+D21*30</f>
        <v>2236.824</v>
      </c>
      <c r="H21" s="27">
        <f t="shared" si="1"/>
        <v>4164.3</v>
      </c>
      <c r="I21" s="28">
        <f>+B21*30</f>
        <v>2367.702</v>
      </c>
      <c r="J21" s="32">
        <f t="shared" si="2"/>
        <v>1796.598</v>
      </c>
    </row>
    <row r="22" spans="1:10" ht="12.75">
      <c r="A22" s="10" t="s">
        <v>3</v>
      </c>
      <c r="B22" s="25">
        <f t="shared" si="0"/>
        <v>283.569</v>
      </c>
      <c r="C22" s="25">
        <f t="shared" si="0"/>
        <v>128.69670000000002</v>
      </c>
      <c r="D22" s="25">
        <f t="shared" si="0"/>
        <v>159.03660000000002</v>
      </c>
      <c r="E22" s="29" t="s">
        <v>3</v>
      </c>
      <c r="F22" s="27">
        <f>+C22*31</f>
        <v>3989.5977000000007</v>
      </c>
      <c r="G22" s="27">
        <f>+D22*31</f>
        <v>4930.1346</v>
      </c>
      <c r="H22" s="27">
        <f t="shared" si="1"/>
        <v>8919.732300000001</v>
      </c>
      <c r="I22" s="28">
        <f>+B22*31</f>
        <v>8790.639000000001</v>
      </c>
      <c r="J22" s="32">
        <f t="shared" si="2"/>
        <v>129.09330000000045</v>
      </c>
    </row>
    <row r="23" spans="1:10" ht="12.75">
      <c r="A23" s="10" t="s">
        <v>4</v>
      </c>
      <c r="B23" s="25">
        <f t="shared" si="0"/>
        <v>493.767</v>
      </c>
      <c r="C23" s="25">
        <f t="shared" si="0"/>
        <v>293.48400000000004</v>
      </c>
      <c r="D23" s="25">
        <f t="shared" si="0"/>
        <v>50.169900000000005</v>
      </c>
      <c r="E23" s="29" t="s">
        <v>4</v>
      </c>
      <c r="F23" s="27">
        <f>+C23*30</f>
        <v>8804.52</v>
      </c>
      <c r="G23" s="27">
        <f>+D23*30</f>
        <v>1505.0970000000002</v>
      </c>
      <c r="H23" s="27">
        <f t="shared" si="1"/>
        <v>10309.617</v>
      </c>
      <c r="I23" s="28">
        <f>+B23*30</f>
        <v>14813.01</v>
      </c>
      <c r="J23" s="32">
        <f t="shared" si="2"/>
        <v>-4503.393</v>
      </c>
    </row>
    <row r="24" spans="1:10" ht="12.75">
      <c r="A24" s="10" t="s">
        <v>5</v>
      </c>
      <c r="B24" s="25">
        <f t="shared" si="0"/>
        <v>337.11</v>
      </c>
      <c r="C24" s="25">
        <f t="shared" si="0"/>
        <v>565.155</v>
      </c>
      <c r="D24" s="25">
        <f t="shared" si="0"/>
        <v>3.6883800000000004</v>
      </c>
      <c r="E24" s="29" t="s">
        <v>5</v>
      </c>
      <c r="F24" s="27">
        <f>+C24*31</f>
        <v>17519.805</v>
      </c>
      <c r="G24" s="27">
        <f>+D24*31</f>
        <v>114.33978000000002</v>
      </c>
      <c r="H24" s="27">
        <f t="shared" si="1"/>
        <v>17634.14478</v>
      </c>
      <c r="I24" s="28">
        <f>+B24*31</f>
        <v>10450.41</v>
      </c>
      <c r="J24" s="32">
        <f t="shared" si="2"/>
        <v>7183.734779999999</v>
      </c>
    </row>
    <row r="25" spans="1:10" ht="12.75">
      <c r="A25" s="10" t="s">
        <v>6</v>
      </c>
      <c r="B25" s="25">
        <f t="shared" si="0"/>
        <v>183.82410000000002</v>
      </c>
      <c r="C25" s="25">
        <f t="shared" si="0"/>
        <v>138.0168</v>
      </c>
      <c r="D25" s="25">
        <f t="shared" si="0"/>
        <v>0.03966</v>
      </c>
      <c r="E25" s="29" t="s">
        <v>6</v>
      </c>
      <c r="F25" s="27">
        <f>+C25*31</f>
        <v>4278.520799999999</v>
      </c>
      <c r="G25" s="27">
        <f>+D25*31</f>
        <v>1.22946</v>
      </c>
      <c r="H25" s="27">
        <f t="shared" si="1"/>
        <v>4279.750259999999</v>
      </c>
      <c r="I25" s="28">
        <f>+B25*31</f>
        <v>5698.547100000001</v>
      </c>
      <c r="J25" s="32">
        <f t="shared" si="2"/>
        <v>-1418.7968400000018</v>
      </c>
    </row>
    <row r="26" spans="1:10" ht="12.75">
      <c r="A26" s="10" t="s">
        <v>7</v>
      </c>
      <c r="B26" s="25">
        <f t="shared" si="0"/>
        <v>41.4447</v>
      </c>
      <c r="C26" s="25">
        <f t="shared" si="0"/>
        <v>105.099</v>
      </c>
      <c r="D26" s="25">
        <f t="shared" si="0"/>
        <v>0</v>
      </c>
      <c r="E26" s="29" t="s">
        <v>7</v>
      </c>
      <c r="F26" s="27">
        <f>+C26*30</f>
        <v>3152.9700000000003</v>
      </c>
      <c r="G26" s="27">
        <f>+D26*30</f>
        <v>0</v>
      </c>
      <c r="H26" s="27">
        <f t="shared" si="1"/>
        <v>3152.9700000000003</v>
      </c>
      <c r="I26" s="28">
        <f>+B26*30</f>
        <v>1243.341</v>
      </c>
      <c r="J26" s="32">
        <f t="shared" si="2"/>
        <v>1909.6290000000004</v>
      </c>
    </row>
    <row r="27" spans="1:10" ht="12.75">
      <c r="A27" s="10" t="s">
        <v>8</v>
      </c>
      <c r="B27" s="25">
        <f t="shared" si="0"/>
        <v>0.39660000000000006</v>
      </c>
      <c r="C27" s="25">
        <f t="shared" si="0"/>
        <v>74.1642</v>
      </c>
      <c r="D27" s="25">
        <f t="shared" si="0"/>
        <v>4.937670000000001</v>
      </c>
      <c r="E27" s="29" t="s">
        <v>8</v>
      </c>
      <c r="F27" s="27">
        <f>+C27*31</f>
        <v>2299.0901999999996</v>
      </c>
      <c r="G27" s="27">
        <f>+D27*31</f>
        <v>153.06777000000002</v>
      </c>
      <c r="H27" s="27">
        <f t="shared" si="1"/>
        <v>2452.1579699999998</v>
      </c>
      <c r="I27" s="28">
        <f>+B27*31</f>
        <v>12.294600000000003</v>
      </c>
      <c r="J27" s="32">
        <f t="shared" si="2"/>
        <v>2439.8633699999996</v>
      </c>
    </row>
    <row r="28" spans="1:10" ht="12.75">
      <c r="A28" s="10" t="s">
        <v>9</v>
      </c>
      <c r="B28" s="25">
        <f t="shared" si="0"/>
        <v>2.4787500000000002</v>
      </c>
      <c r="C28" s="25">
        <f t="shared" si="0"/>
        <v>80.9064</v>
      </c>
      <c r="D28" s="25">
        <f t="shared" si="0"/>
        <v>25.382400000000004</v>
      </c>
      <c r="E28" s="29" t="s">
        <v>9</v>
      </c>
      <c r="F28" s="27">
        <f>+C28*30</f>
        <v>2427.192</v>
      </c>
      <c r="G28" s="27">
        <f>+D28*30</f>
        <v>761.4720000000001</v>
      </c>
      <c r="H28" s="27">
        <f t="shared" si="1"/>
        <v>3188.664</v>
      </c>
      <c r="I28" s="28">
        <f>+B28*30</f>
        <v>74.36250000000001</v>
      </c>
      <c r="J28" s="32">
        <f t="shared" si="2"/>
        <v>3114.3015</v>
      </c>
    </row>
    <row r="29" spans="1:10" ht="12.75">
      <c r="A29" s="10" t="s">
        <v>10</v>
      </c>
      <c r="B29" s="25">
        <f t="shared" si="0"/>
        <v>0.25779</v>
      </c>
      <c r="C29" s="25">
        <f t="shared" si="0"/>
        <v>94.98570000000001</v>
      </c>
      <c r="D29" s="25">
        <f t="shared" si="0"/>
        <v>20.8215</v>
      </c>
      <c r="E29" s="29" t="s">
        <v>10</v>
      </c>
      <c r="F29" s="27">
        <f>+C29*31</f>
        <v>2944.5567</v>
      </c>
      <c r="G29" s="27">
        <f>+D29*31</f>
        <v>645.4665</v>
      </c>
      <c r="H29" s="27">
        <f t="shared" si="1"/>
        <v>3590.0232</v>
      </c>
      <c r="I29" s="28">
        <f>+B29*31</f>
        <v>7.991490000000001</v>
      </c>
      <c r="J29" s="32">
        <f t="shared" si="2"/>
        <v>3582.03171</v>
      </c>
    </row>
    <row r="30" spans="1:10" ht="12.75">
      <c r="A30" s="10"/>
      <c r="B30" s="26"/>
      <c r="C30" s="26"/>
      <c r="D30" s="26"/>
      <c r="E30" s="52" t="s">
        <v>95</v>
      </c>
      <c r="F30" s="164">
        <f>SUM(F18:F29)</f>
        <v>54073.0389</v>
      </c>
      <c r="G30" s="164">
        <f>SUM(G18:G29)</f>
        <v>12618.761010000002</v>
      </c>
      <c r="H30" s="164">
        <f>SUM(H18:H29)</f>
        <v>66691.79991</v>
      </c>
      <c r="I30" s="164">
        <f>SUM(I18:I29)</f>
        <v>51267.74829000002</v>
      </c>
      <c r="J30" s="165">
        <f t="shared" si="2"/>
        <v>15424.051619999984</v>
      </c>
    </row>
    <row r="31" spans="1:9" ht="12.75">
      <c r="A31" s="10"/>
      <c r="B31" s="4"/>
      <c r="C31" s="4"/>
      <c r="D31" s="4"/>
      <c r="E31" s="159" t="s">
        <v>98</v>
      </c>
      <c r="F31" s="33">
        <f>F30/H30</f>
        <v>0.8107899167959343</v>
      </c>
      <c r="G31" s="33">
        <f>G30/H30</f>
        <v>0.1892100832040657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P45">
      <selection activeCell="R69" sqref="R69"/>
    </sheetView>
  </sheetViews>
  <sheetFormatPr defaultColWidth="9.140625" defaultRowHeight="12.75"/>
  <cols>
    <col min="8" max="8" width="17.00390625" style="0" customWidth="1"/>
    <col min="27" max="27" width="5.57421875" style="0" bestFit="1" customWidth="1"/>
    <col min="28" max="28" width="22.57421875" style="0" bestFit="1" customWidth="1"/>
  </cols>
  <sheetData>
    <row r="1" spans="1:27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 t="s">
        <v>76</v>
      </c>
      <c r="O1" s="19"/>
      <c r="P1" s="19"/>
      <c r="Q1" s="19"/>
      <c r="R1" s="19"/>
      <c r="S1" s="19"/>
      <c r="T1" s="19"/>
      <c r="U1" s="19"/>
      <c r="V1" s="19"/>
      <c r="W1" s="19"/>
      <c r="X1" s="18"/>
      <c r="Y1" s="18"/>
      <c r="Z1" s="18"/>
      <c r="AA1" s="18"/>
    </row>
    <row r="2" spans="1:28" ht="12.75">
      <c r="A2" s="19" t="s">
        <v>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>
        <v>1988</v>
      </c>
      <c r="P2" s="19">
        <v>1991</v>
      </c>
      <c r="Q2" s="19">
        <v>1992</v>
      </c>
      <c r="R2" s="19">
        <v>1993</v>
      </c>
      <c r="S2" s="19">
        <v>1994</v>
      </c>
      <c r="T2" s="19">
        <v>1995</v>
      </c>
      <c r="U2" s="19">
        <v>1996</v>
      </c>
      <c r="V2" s="19">
        <v>1997</v>
      </c>
      <c r="W2" s="19">
        <v>1998</v>
      </c>
      <c r="X2" s="18">
        <v>1999</v>
      </c>
      <c r="Y2" s="18">
        <v>2000</v>
      </c>
      <c r="Z2" s="18">
        <v>2001</v>
      </c>
      <c r="AA2" s="19" t="s">
        <v>74</v>
      </c>
      <c r="AB2" s="19" t="s">
        <v>73</v>
      </c>
    </row>
    <row r="3" spans="1:28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 t="s">
        <v>56</v>
      </c>
      <c r="O3" s="21">
        <f aca="true" t="shared" si="0" ref="O3:Z3">LN(B5)</f>
        <v>2.011086222015564</v>
      </c>
      <c r="P3" s="21">
        <f t="shared" si="0"/>
        <v>3.054944133185837</v>
      </c>
      <c r="Q3" s="21">
        <f t="shared" si="0"/>
        <v>2.944965156500338</v>
      </c>
      <c r="R3" s="21">
        <f t="shared" si="0"/>
        <v>2.186051276738094</v>
      </c>
      <c r="S3" s="21">
        <f t="shared" si="0"/>
        <v>3.0170044088295307</v>
      </c>
      <c r="T3" s="21">
        <f t="shared" si="0"/>
        <v>1.6272778305624314</v>
      </c>
      <c r="U3" s="21">
        <f t="shared" si="0"/>
        <v>1.3609765531356006</v>
      </c>
      <c r="V3" s="21">
        <f t="shared" si="0"/>
        <v>0.8329091229351039</v>
      </c>
      <c r="W3" s="21">
        <f t="shared" si="0"/>
        <v>1.3887912413184778</v>
      </c>
      <c r="X3" s="21">
        <f t="shared" si="0"/>
        <v>1.4586150226995167</v>
      </c>
      <c r="Y3" s="21">
        <f t="shared" si="0"/>
        <v>1.9740810260220096</v>
      </c>
      <c r="Z3" s="21">
        <f t="shared" si="0"/>
        <v>2.2617630984737906</v>
      </c>
      <c r="AA3" s="19" t="s">
        <v>72</v>
      </c>
      <c r="AB3" s="19" t="s">
        <v>71</v>
      </c>
    </row>
    <row r="4" spans="1:28" ht="12.75">
      <c r="A4" s="19" t="s">
        <v>35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>
        <v>21</v>
      </c>
      <c r="M4" s="19">
        <v>30</v>
      </c>
      <c r="N4" s="19"/>
      <c r="O4" s="21">
        <f aca="true" t="shared" si="1" ref="O4:Z4">20+(14.42*O3)</f>
        <v>48.99986332146443</v>
      </c>
      <c r="P4" s="21">
        <f t="shared" si="1"/>
        <v>64.05229440053976</v>
      </c>
      <c r="Q4" s="21">
        <f t="shared" si="1"/>
        <v>62.46639755673487</v>
      </c>
      <c r="R4" s="21">
        <f t="shared" si="1"/>
        <v>51.52285941056331</v>
      </c>
      <c r="S4" s="21">
        <f t="shared" si="1"/>
        <v>63.50520357532183</v>
      </c>
      <c r="T4" s="21">
        <f t="shared" si="1"/>
        <v>43.46534631671026</v>
      </c>
      <c r="U4" s="21">
        <f t="shared" si="1"/>
        <v>39.62528189621536</v>
      </c>
      <c r="V4" s="21">
        <f t="shared" si="1"/>
        <v>32.0105495527242</v>
      </c>
      <c r="W4" s="21">
        <f t="shared" si="1"/>
        <v>40.02636969981245</v>
      </c>
      <c r="X4" s="21">
        <f t="shared" si="1"/>
        <v>41.033228627327034</v>
      </c>
      <c r="Y4" s="21">
        <f t="shared" si="1"/>
        <v>48.46624839523738</v>
      </c>
      <c r="Z4" s="21">
        <f t="shared" si="1"/>
        <v>52.61462387999206</v>
      </c>
      <c r="AA4" s="19" t="s">
        <v>69</v>
      </c>
      <c r="AB4" s="19" t="s">
        <v>68</v>
      </c>
    </row>
    <row r="5" spans="1:28" ht="12.75">
      <c r="A5" s="19" t="s">
        <v>63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>
        <v>7.2</v>
      </c>
      <c r="M5" s="19">
        <v>9.6</v>
      </c>
      <c r="N5" s="19"/>
      <c r="O5" s="21"/>
      <c r="P5" s="21"/>
      <c r="Q5" s="21"/>
      <c r="R5" s="21"/>
      <c r="S5" s="21"/>
      <c r="T5" s="21"/>
      <c r="U5" s="19"/>
      <c r="V5" s="19"/>
      <c r="W5" s="19"/>
      <c r="X5" s="19"/>
      <c r="AA5" s="19" t="s">
        <v>67</v>
      </c>
      <c r="AB5" s="19" t="s">
        <v>66</v>
      </c>
    </row>
    <row r="6" spans="1:28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>
        <v>2.43</v>
      </c>
      <c r="M6" s="19">
        <v>2</v>
      </c>
      <c r="N6" s="19" t="s">
        <v>55</v>
      </c>
      <c r="O6" s="21">
        <f aca="true" t="shared" si="2" ref="O6:Z6">LN(B4)</f>
        <v>5.111987788356544</v>
      </c>
      <c r="P6" s="21">
        <f t="shared" si="2"/>
        <v>5.215804944973573</v>
      </c>
      <c r="Q6" s="21">
        <f t="shared" si="2"/>
        <v>5.089199986966919</v>
      </c>
      <c r="R6" s="21">
        <f t="shared" si="2"/>
        <v>5.1234281215713775</v>
      </c>
      <c r="S6" s="21">
        <f t="shared" si="2"/>
        <v>4.466252886801422</v>
      </c>
      <c r="T6" s="21">
        <f t="shared" si="2"/>
        <v>3.711374531941307</v>
      </c>
      <c r="U6" s="21">
        <f t="shared" si="2"/>
        <v>3.5263605246161616</v>
      </c>
      <c r="V6" s="21">
        <f t="shared" si="2"/>
        <v>2.5649493574615367</v>
      </c>
      <c r="W6" s="21">
        <f t="shared" si="2"/>
        <v>2.509599262378372</v>
      </c>
      <c r="X6" s="21">
        <f t="shared" si="2"/>
        <v>2.995732273553991</v>
      </c>
      <c r="Y6" s="21">
        <f t="shared" si="2"/>
        <v>3.044522437723423</v>
      </c>
      <c r="Z6" s="21">
        <f t="shared" si="2"/>
        <v>3.4011973816621555</v>
      </c>
      <c r="AA6" s="19" t="s">
        <v>65</v>
      </c>
      <c r="AB6" s="19" t="s">
        <v>64</v>
      </c>
    </row>
    <row r="7" spans="1:28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21">
        <f aca="true" t="shared" si="3" ref="O7:W7">(20.02*O6)</f>
        <v>102.341995522898</v>
      </c>
      <c r="P7" s="21">
        <f t="shared" si="3"/>
        <v>104.42041499837092</v>
      </c>
      <c r="Q7" s="21">
        <f t="shared" si="3"/>
        <v>101.88578373907771</v>
      </c>
      <c r="R7" s="21">
        <f t="shared" si="3"/>
        <v>102.57103099385897</v>
      </c>
      <c r="S7" s="21">
        <f t="shared" si="3"/>
        <v>89.41438279376447</v>
      </c>
      <c r="T7" s="21">
        <f t="shared" si="3"/>
        <v>74.30171812946497</v>
      </c>
      <c r="U7" s="21">
        <f t="shared" si="3"/>
        <v>70.59773770281555</v>
      </c>
      <c r="V7" s="21">
        <f t="shared" si="3"/>
        <v>51.350286136379964</v>
      </c>
      <c r="W7" s="21">
        <f t="shared" si="3"/>
        <v>50.24217723281501</v>
      </c>
      <c r="X7" s="21">
        <f>LN(K5)</f>
        <v>1.4586150226995167</v>
      </c>
      <c r="Y7" s="21">
        <f>LN(L5)</f>
        <v>1.9740810260220096</v>
      </c>
      <c r="Z7" s="21">
        <f>LN(M5)</f>
        <v>2.2617630984737906</v>
      </c>
      <c r="AA7" s="19" t="s">
        <v>62</v>
      </c>
      <c r="AB7" s="19" t="s">
        <v>61</v>
      </c>
    </row>
    <row r="8" spans="1:27" ht="12.75">
      <c r="A8" s="19" t="s">
        <v>70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1"/>
      <c r="Q8" s="21"/>
      <c r="R8" s="21"/>
      <c r="S8" s="21"/>
      <c r="T8" s="21"/>
      <c r="U8" s="19"/>
      <c r="V8" s="18"/>
      <c r="W8" s="18"/>
      <c r="X8" s="18"/>
      <c r="AA8" s="18"/>
    </row>
    <row r="9" spans="1:27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>
        <v>2000</v>
      </c>
      <c r="M9" s="19">
        <v>2001</v>
      </c>
      <c r="N9" s="19" t="s">
        <v>54</v>
      </c>
      <c r="O9" s="21">
        <f aca="true" t="shared" si="4" ref="O9:Z9">LN(1/B6-0.08)</f>
        <v>-0.6247698831152083</v>
      </c>
      <c r="P9" s="21">
        <f t="shared" si="4"/>
        <v>-0.9654035287290765</v>
      </c>
      <c r="Q9" s="21">
        <f t="shared" si="4"/>
        <v>-0.9258601828903059</v>
      </c>
      <c r="R9" s="21">
        <f t="shared" si="4"/>
        <v>-1.3015390482569433</v>
      </c>
      <c r="S9" s="21">
        <f t="shared" si="4"/>
        <v>-0.7367663797012618</v>
      </c>
      <c r="T9" s="21">
        <f t="shared" si="4"/>
        <v>-0.9485822365106786</v>
      </c>
      <c r="U9" s="21">
        <f t="shared" si="4"/>
        <v>-2.0733694790422286</v>
      </c>
      <c r="V9" s="21">
        <f t="shared" si="4"/>
        <v>-1.4164210665233978</v>
      </c>
      <c r="W9" s="21">
        <f t="shared" si="4"/>
        <v>-1.2032126370525384</v>
      </c>
      <c r="X9" s="21">
        <f t="shared" si="4"/>
        <v>-0.9258601828903059</v>
      </c>
      <c r="Y9" s="21">
        <f t="shared" si="4"/>
        <v>-1.1040591949302418</v>
      </c>
      <c r="Z9" s="21">
        <f t="shared" si="4"/>
        <v>-0.8675005677047231</v>
      </c>
      <c r="AA9" s="18"/>
    </row>
    <row r="10" spans="1:27" ht="12.75">
      <c r="A10" s="19" t="s">
        <v>35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>
        <v>15</v>
      </c>
      <c r="M10" s="19">
        <v>30</v>
      </c>
      <c r="N10" s="19"/>
      <c r="O10" s="21">
        <f aca="true" t="shared" si="5" ref="O10:Z10">75.3+(19.46*O9)</f>
        <v>63.14197807457804</v>
      </c>
      <c r="P10" s="21">
        <f t="shared" si="5"/>
        <v>56.51324733093217</v>
      </c>
      <c r="Q10" s="21">
        <f t="shared" si="5"/>
        <v>57.282760840954644</v>
      </c>
      <c r="R10" s="21">
        <f t="shared" si="5"/>
        <v>49.972050120919874</v>
      </c>
      <c r="S10" s="21">
        <f t="shared" si="5"/>
        <v>60.96252625101344</v>
      </c>
      <c r="T10" s="21">
        <f t="shared" si="5"/>
        <v>56.840589677502194</v>
      </c>
      <c r="U10" s="21">
        <f t="shared" si="5"/>
        <v>34.952229937838226</v>
      </c>
      <c r="V10" s="21">
        <f t="shared" si="5"/>
        <v>47.73644604545467</v>
      </c>
      <c r="W10" s="21">
        <f t="shared" si="5"/>
        <v>51.885482082957594</v>
      </c>
      <c r="X10" s="21">
        <f t="shared" si="5"/>
        <v>57.282760840954644</v>
      </c>
      <c r="Y10" s="21">
        <f t="shared" si="5"/>
        <v>53.81500806665749</v>
      </c>
      <c r="Z10" s="21">
        <f t="shared" si="5"/>
        <v>58.41843895246609</v>
      </c>
      <c r="AA10" s="18"/>
    </row>
    <row r="11" spans="1:27" ht="12.75">
      <c r="A11" s="19" t="s">
        <v>63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>
        <v>6.24</v>
      </c>
      <c r="M11" s="19">
        <v>10.4</v>
      </c>
      <c r="N11" s="19"/>
      <c r="O11" s="19"/>
      <c r="P11" s="19"/>
      <c r="Q11" s="19"/>
      <c r="R11" s="19"/>
      <c r="S11" s="19"/>
      <c r="T11" s="19"/>
      <c r="U11" s="19"/>
      <c r="V11" s="18"/>
      <c r="W11" s="18"/>
      <c r="X11" s="18"/>
      <c r="AA11" s="18"/>
    </row>
    <row r="12" spans="1:27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>
        <v>2.25</v>
      </c>
      <c r="M12" s="19">
        <v>1.9</v>
      </c>
      <c r="N12" s="19" t="s">
        <v>53</v>
      </c>
      <c r="O12" s="22">
        <f aca="true" t="shared" si="6" ref="O12:W12">(O10+O7+O4)/3</f>
        <v>71.4946123063135</v>
      </c>
      <c r="P12" s="22">
        <f t="shared" si="6"/>
        <v>74.99531890994761</v>
      </c>
      <c r="Q12" s="22">
        <f t="shared" si="6"/>
        <v>73.87831404558908</v>
      </c>
      <c r="R12" s="22">
        <f t="shared" si="6"/>
        <v>68.02198017511405</v>
      </c>
      <c r="S12" s="22">
        <f t="shared" si="6"/>
        <v>71.29403754003324</v>
      </c>
      <c r="T12" s="22">
        <f t="shared" si="6"/>
        <v>58.202551374559135</v>
      </c>
      <c r="U12" s="22">
        <f t="shared" si="6"/>
        <v>48.391749845623046</v>
      </c>
      <c r="V12" s="22">
        <f t="shared" si="6"/>
        <v>43.69909391151961</v>
      </c>
      <c r="W12" s="22">
        <f t="shared" si="6"/>
        <v>47.38467633852835</v>
      </c>
      <c r="X12" s="22">
        <f>(X10+X7+X4)/3</f>
        <v>33.258201496993735</v>
      </c>
      <c r="Y12" s="22">
        <f>(Y10+Y7+Y4)/3</f>
        <v>34.75177916263896</v>
      </c>
      <c r="Z12" s="22">
        <f>(Z10+Z7+Z4)/3</f>
        <v>37.76494197697732</v>
      </c>
      <c r="AA12" s="18"/>
    </row>
    <row r="13" spans="1:27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 t="s">
        <v>60</v>
      </c>
      <c r="Q13" s="19" t="s">
        <v>60</v>
      </c>
      <c r="R13" s="19" t="s">
        <v>60</v>
      </c>
      <c r="S13" s="19" t="s">
        <v>60</v>
      </c>
      <c r="T13" s="19" t="s">
        <v>59</v>
      </c>
      <c r="U13" s="19" t="s">
        <v>50</v>
      </c>
      <c r="V13" s="19" t="s">
        <v>28</v>
      </c>
      <c r="W13" s="19" t="s">
        <v>50</v>
      </c>
      <c r="X13" s="18" t="s">
        <v>78</v>
      </c>
      <c r="Y13" s="18"/>
      <c r="Z13" s="18"/>
      <c r="AA13" s="18"/>
    </row>
    <row r="14" spans="1:27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21"/>
      <c r="Q14" s="21"/>
      <c r="R14" s="21"/>
      <c r="S14" s="21"/>
      <c r="T14" s="21"/>
      <c r="U14" s="19"/>
      <c r="V14" s="19"/>
      <c r="W14" s="19"/>
      <c r="X14" s="18"/>
      <c r="Y14" s="18"/>
      <c r="Z14" s="18"/>
      <c r="AA14" s="18"/>
    </row>
    <row r="15" spans="1:27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 t="s">
        <v>58</v>
      </c>
      <c r="O15" s="19"/>
      <c r="P15" s="21"/>
      <c r="Q15" s="21"/>
      <c r="R15" s="21"/>
      <c r="S15" s="21"/>
      <c r="T15" s="21"/>
      <c r="U15" s="19"/>
      <c r="V15" s="19"/>
      <c r="W15" s="19"/>
      <c r="X15" s="18"/>
      <c r="Y15" s="18"/>
      <c r="Z15" s="18"/>
      <c r="AA15" s="18"/>
    </row>
    <row r="16" spans="1:27" ht="12.75">
      <c r="A16" s="19" t="s">
        <v>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1988</v>
      </c>
      <c r="P16" s="23">
        <v>1991</v>
      </c>
      <c r="Q16" s="23">
        <v>1992</v>
      </c>
      <c r="R16" s="23">
        <v>1993</v>
      </c>
      <c r="S16" s="23">
        <v>1994</v>
      </c>
      <c r="T16" s="23">
        <v>1995</v>
      </c>
      <c r="U16" s="19">
        <v>1996</v>
      </c>
      <c r="V16" s="19">
        <v>1997</v>
      </c>
      <c r="W16" s="19">
        <v>1998</v>
      </c>
      <c r="X16" s="18">
        <v>1999</v>
      </c>
      <c r="Y16" s="18">
        <v>2000</v>
      </c>
      <c r="Z16" s="18">
        <v>2001</v>
      </c>
      <c r="AA16" s="18"/>
    </row>
    <row r="17" spans="1:27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>
        <v>2000</v>
      </c>
      <c r="M17" s="19">
        <v>2001</v>
      </c>
      <c r="N17" s="19" t="s">
        <v>56</v>
      </c>
      <c r="O17" s="19"/>
      <c r="P17" s="21">
        <f aca="true" t="shared" si="7" ref="P17:Z17">LN(C11)</f>
        <v>1.3837912309017721</v>
      </c>
      <c r="Q17" s="21">
        <f t="shared" si="7"/>
        <v>2.4664031782234406</v>
      </c>
      <c r="R17" s="21">
        <f t="shared" si="7"/>
        <v>2.667228206581955</v>
      </c>
      <c r="S17" s="21">
        <f t="shared" si="7"/>
        <v>3.2733640101522705</v>
      </c>
      <c r="T17" s="21">
        <f t="shared" si="7"/>
        <v>2.3942522815198695</v>
      </c>
      <c r="U17" s="21">
        <f t="shared" si="7"/>
        <v>1.1969481893889715</v>
      </c>
      <c r="V17" s="21">
        <f t="shared" si="7"/>
        <v>0.8424288832756998</v>
      </c>
      <c r="W17" s="21">
        <f t="shared" si="7"/>
        <v>1.33500106673234</v>
      </c>
      <c r="X17" s="21">
        <f t="shared" si="7"/>
        <v>1.4350845252893227</v>
      </c>
      <c r="Y17" s="21">
        <f t="shared" si="7"/>
        <v>1.8309801823813363</v>
      </c>
      <c r="Z17" s="21">
        <f t="shared" si="7"/>
        <v>2.341805806147327</v>
      </c>
      <c r="AA17" s="18"/>
    </row>
    <row r="18" spans="1:27" ht="12.75">
      <c r="A18" s="19" t="s">
        <v>49</v>
      </c>
      <c r="B18" s="21">
        <f aca="true" t="shared" si="8" ref="B18:M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21">
        <f t="shared" si="8"/>
        <v>0.8878912573524571</v>
      </c>
      <c r="M18" s="21">
        <f t="shared" si="8"/>
        <v>0.6931471805599453</v>
      </c>
      <c r="N18" s="19"/>
      <c r="O18" s="19"/>
      <c r="P18" s="21">
        <f aca="true" t="shared" si="9" ref="P18:Z18">20+(14.42*P17)</f>
        <v>39.95426954960355</v>
      </c>
      <c r="Q18" s="21">
        <f t="shared" si="9"/>
        <v>55.565533829982016</v>
      </c>
      <c r="R18" s="21">
        <f t="shared" si="9"/>
        <v>58.46143073891179</v>
      </c>
      <c r="S18" s="21">
        <f t="shared" si="9"/>
        <v>67.20190902639574</v>
      </c>
      <c r="T18" s="21">
        <f t="shared" si="9"/>
        <v>54.525117899516516</v>
      </c>
      <c r="U18" s="21">
        <f t="shared" si="9"/>
        <v>37.25999289098897</v>
      </c>
      <c r="V18" s="21">
        <f t="shared" si="9"/>
        <v>32.14782449683559</v>
      </c>
      <c r="W18" s="21">
        <f t="shared" si="9"/>
        <v>39.25071538228035</v>
      </c>
      <c r="X18" s="21">
        <f t="shared" si="9"/>
        <v>40.693918854672035</v>
      </c>
      <c r="Y18" s="21">
        <f t="shared" si="9"/>
        <v>46.40273422993887</v>
      </c>
      <c r="Z18" s="21">
        <f t="shared" si="9"/>
        <v>53.76883972464446</v>
      </c>
      <c r="AA18" s="18"/>
    </row>
    <row r="19" spans="1:27" ht="12.75">
      <c r="A19" s="19"/>
      <c r="B19" s="21">
        <f aca="true" t="shared" si="10" ref="B19:M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21">
        <f t="shared" si="10"/>
        <v>47.20548698155109</v>
      </c>
      <c r="M19" s="21">
        <f t="shared" si="10"/>
        <v>50.011749128131186</v>
      </c>
      <c r="N19" s="19"/>
      <c r="O19" s="19"/>
      <c r="P19" s="21"/>
      <c r="Q19" s="21"/>
      <c r="R19" s="21"/>
      <c r="S19" s="21"/>
      <c r="T19" s="21"/>
      <c r="U19" s="21"/>
      <c r="V19" s="21"/>
      <c r="W19" s="21"/>
      <c r="X19" s="21"/>
      <c r="Y19" s="18"/>
      <c r="Z19" s="18"/>
      <c r="AA19" s="18"/>
    </row>
    <row r="20" spans="1:2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 t="s">
        <v>55</v>
      </c>
      <c r="O20" s="19"/>
      <c r="P20" s="21">
        <f aca="true" t="shared" si="11" ref="P20:Z20">LN(C10)</f>
        <v>5.256609563148246</v>
      </c>
      <c r="Q20" s="21">
        <f t="shared" si="11"/>
        <v>5.2021368080740675</v>
      </c>
      <c r="R20" s="21">
        <f t="shared" si="11"/>
        <v>5.332235584751498</v>
      </c>
      <c r="S20" s="21">
        <f t="shared" si="11"/>
        <v>4.524719061590464</v>
      </c>
      <c r="T20" s="21">
        <f t="shared" si="11"/>
        <v>4.067315889834181</v>
      </c>
      <c r="U20" s="21">
        <f t="shared" si="11"/>
        <v>3.6282548322975017</v>
      </c>
      <c r="V20" s="21">
        <f t="shared" si="11"/>
        <v>2.6667320418459206</v>
      </c>
      <c r="W20" s="21">
        <f t="shared" si="11"/>
        <v>2.747270914255491</v>
      </c>
      <c r="X20" s="21">
        <f t="shared" si="11"/>
        <v>3.299533727885655</v>
      </c>
      <c r="Y20" s="21">
        <f t="shared" si="11"/>
        <v>2.70805020110221</v>
      </c>
      <c r="Z20" s="21">
        <f t="shared" si="11"/>
        <v>3.4011973816621555</v>
      </c>
      <c r="AA20" s="18"/>
    </row>
    <row r="21" spans="1:27" ht="12.75">
      <c r="A21" s="19" t="s">
        <v>48</v>
      </c>
      <c r="B21" s="21">
        <f aca="true" t="shared" si="12" ref="B21:M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21">
        <f t="shared" si="12"/>
        <v>1.9740810260220096</v>
      </c>
      <c r="M21" s="21">
        <f t="shared" si="12"/>
        <v>2.2617630984737906</v>
      </c>
      <c r="N21" s="19"/>
      <c r="O21" s="19"/>
      <c r="P21" s="21">
        <f aca="true" t="shared" si="13" ref="P21:W21">(20.02*P20)</f>
        <v>105.23732345422789</v>
      </c>
      <c r="Q21" s="21">
        <f t="shared" si="13"/>
        <v>104.14677889764283</v>
      </c>
      <c r="R21" s="21">
        <f t="shared" si="13"/>
        <v>106.75135640672498</v>
      </c>
      <c r="S21" s="21">
        <f t="shared" si="13"/>
        <v>90.58487561304109</v>
      </c>
      <c r="T21" s="21">
        <f t="shared" si="13"/>
        <v>81.42766411448031</v>
      </c>
      <c r="U21" s="21">
        <f t="shared" si="13"/>
        <v>72.63766174259598</v>
      </c>
      <c r="V21" s="21">
        <f t="shared" si="13"/>
        <v>53.387975477755326</v>
      </c>
      <c r="W21" s="21">
        <f t="shared" si="13"/>
        <v>55.00036370339493</v>
      </c>
      <c r="X21" s="21">
        <f>LN(K11)</f>
        <v>1.4350845252893227</v>
      </c>
      <c r="Y21" s="21">
        <f>LN(L11)</f>
        <v>1.8309801823813363</v>
      </c>
      <c r="Z21" s="21">
        <f>LN(M11)</f>
        <v>2.341805806147327</v>
      </c>
      <c r="AA21" s="18"/>
    </row>
    <row r="22" spans="1:27" ht="12.75">
      <c r="A22" s="19"/>
      <c r="B22" s="21">
        <f aca="true" t="shared" si="14" ref="B22:M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21">
        <f t="shared" si="14"/>
        <v>49.96573486527592</v>
      </c>
      <c r="M22" s="21">
        <f t="shared" si="14"/>
        <v>52.787895996027885</v>
      </c>
      <c r="N22" s="19"/>
      <c r="O22" s="19"/>
      <c r="P22" s="21"/>
      <c r="Q22" s="21"/>
      <c r="R22" s="21"/>
      <c r="S22" s="21"/>
      <c r="T22" s="21"/>
      <c r="U22" s="21"/>
      <c r="V22" s="21"/>
      <c r="W22" s="18"/>
      <c r="X22" s="18"/>
      <c r="Y22" s="18"/>
      <c r="Z22" s="18"/>
      <c r="AA22" s="18"/>
    </row>
    <row r="23" spans="1:2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 t="s">
        <v>54</v>
      </c>
      <c r="O23" s="19"/>
      <c r="P23" s="21">
        <f aca="true" t="shared" si="15" ref="P23:Z23">LN(1/C12-0.08)</f>
        <v>-0.8852504124795058</v>
      </c>
      <c r="Q23" s="21">
        <f t="shared" si="15"/>
        <v>-0.9372638552544341</v>
      </c>
      <c r="R23" s="21">
        <f t="shared" si="15"/>
        <v>-0.998503205839816</v>
      </c>
      <c r="S23" s="21">
        <f t="shared" si="15"/>
        <v>-0.6768107612402517</v>
      </c>
      <c r="T23" s="21">
        <f t="shared" si="15"/>
        <v>-0.31958340121365647</v>
      </c>
      <c r="U23" s="21">
        <f t="shared" si="15"/>
        <v>-2.4456859366347192</v>
      </c>
      <c r="V23" s="21">
        <f t="shared" si="15"/>
        <v>-1.5004476287256954</v>
      </c>
      <c r="W23" s="21">
        <f t="shared" si="15"/>
        <v>-1.1887053321951477</v>
      </c>
      <c r="X23" s="21">
        <f t="shared" si="15"/>
        <v>-0.8067285293626288</v>
      </c>
      <c r="Y23" s="21">
        <f t="shared" si="15"/>
        <v>-1.0093811549401672</v>
      </c>
      <c r="Z23" s="21">
        <f t="shared" si="15"/>
        <v>-0.8067285293626288</v>
      </c>
      <c r="AA23" s="18"/>
    </row>
    <row r="24" spans="1:27" ht="12.75">
      <c r="A24" s="19" t="s">
        <v>47</v>
      </c>
      <c r="B24" s="21">
        <f aca="true" t="shared" si="16" ref="B24:M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21">
        <f t="shared" si="16"/>
        <v>3.044522437723423</v>
      </c>
      <c r="M24" s="21">
        <f t="shared" si="16"/>
        <v>3.4011973816621555</v>
      </c>
      <c r="N24" s="19"/>
      <c r="O24" s="19"/>
      <c r="P24" s="21">
        <f aca="true" t="shared" si="17" ref="P24:Z24">75.3+(19.46*P23)</f>
        <v>58.073026973148814</v>
      </c>
      <c r="Q24" s="21">
        <f t="shared" si="17"/>
        <v>57.06084537674871</v>
      </c>
      <c r="R24" s="21">
        <f t="shared" si="17"/>
        <v>55.869127614357176</v>
      </c>
      <c r="S24" s="21">
        <f t="shared" si="17"/>
        <v>62.1292625862647</v>
      </c>
      <c r="T24" s="21">
        <f t="shared" si="17"/>
        <v>69.08090701238224</v>
      </c>
      <c r="U24" s="21">
        <f t="shared" si="17"/>
        <v>27.706951673088362</v>
      </c>
      <c r="V24" s="21">
        <f t="shared" si="17"/>
        <v>46.10128914499796</v>
      </c>
      <c r="W24" s="21">
        <f t="shared" si="17"/>
        <v>52.16779423548242</v>
      </c>
      <c r="X24" s="21">
        <f t="shared" si="17"/>
        <v>59.60106281860324</v>
      </c>
      <c r="Y24" s="21">
        <f t="shared" si="17"/>
        <v>55.65744272486434</v>
      </c>
      <c r="Z24" s="21">
        <f t="shared" si="17"/>
        <v>59.60106281860324</v>
      </c>
      <c r="AA24" s="18"/>
    </row>
    <row r="25" spans="1:27" ht="12.75">
      <c r="A25" s="19"/>
      <c r="B25" s="21">
        <f aca="true" t="shared" si="18" ref="B25:M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21">
        <f t="shared" si="18"/>
        <v>48.05201355197176</v>
      </c>
      <c r="M25" s="21">
        <f t="shared" si="18"/>
        <v>53.19526624356828</v>
      </c>
      <c r="N25" s="19"/>
      <c r="O25" s="19"/>
      <c r="P25" s="19"/>
      <c r="Q25" s="19"/>
      <c r="R25" s="19"/>
      <c r="S25" s="19"/>
      <c r="T25" s="19"/>
      <c r="U25" s="19"/>
      <c r="V25" s="19"/>
      <c r="W25" s="18"/>
      <c r="X25" s="18"/>
      <c r="Y25" s="18"/>
      <c r="Z25" s="18"/>
      <c r="AA25" s="18"/>
    </row>
    <row r="26" spans="1:2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 t="s">
        <v>53</v>
      </c>
      <c r="O26" s="19"/>
      <c r="P26" s="22">
        <f aca="true" t="shared" si="19" ref="P26:W26">(P24+P21+P18)/3</f>
        <v>67.75487332566009</v>
      </c>
      <c r="Q26" s="22">
        <f t="shared" si="19"/>
        <v>72.25771936812453</v>
      </c>
      <c r="R26" s="22">
        <f t="shared" si="19"/>
        <v>73.69397158666465</v>
      </c>
      <c r="S26" s="22">
        <f t="shared" si="19"/>
        <v>73.30534907523385</v>
      </c>
      <c r="T26" s="22">
        <f t="shared" si="19"/>
        <v>68.34456300879302</v>
      </c>
      <c r="U26" s="22">
        <f t="shared" si="19"/>
        <v>45.86820210222444</v>
      </c>
      <c r="V26" s="22">
        <f t="shared" si="19"/>
        <v>43.87902970652963</v>
      </c>
      <c r="W26" s="22">
        <f t="shared" si="19"/>
        <v>48.80629110705257</v>
      </c>
      <c r="X26" s="22">
        <f>(X24+X21+X18)/3</f>
        <v>33.9100220661882</v>
      </c>
      <c r="Y26" s="22">
        <f>(Y24+Y21+Y18)/3</f>
        <v>34.63038571239485</v>
      </c>
      <c r="Z26" s="22">
        <f>(Z24+Z21+Z18)/3</f>
        <v>38.57056944979834</v>
      </c>
      <c r="AA26" s="18"/>
    </row>
    <row r="27" spans="1:27" ht="12.75">
      <c r="A27" s="19" t="s">
        <v>52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/>
      <c r="O27" s="19"/>
      <c r="P27" s="19" t="s">
        <v>51</v>
      </c>
      <c r="Q27" s="19" t="s">
        <v>51</v>
      </c>
      <c r="R27" s="19" t="s">
        <v>51</v>
      </c>
      <c r="S27" s="19" t="s">
        <v>51</v>
      </c>
      <c r="T27" s="19" t="s">
        <v>51</v>
      </c>
      <c r="U27" s="18" t="s">
        <v>50</v>
      </c>
      <c r="V27" s="18" t="s">
        <v>28</v>
      </c>
      <c r="W27" s="18" t="s">
        <v>50</v>
      </c>
      <c r="X27" s="18" t="s">
        <v>78</v>
      </c>
      <c r="Y27" s="18"/>
      <c r="Z27" s="18"/>
      <c r="AA27" s="18"/>
    </row>
    <row r="28" spans="1:27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>
        <v>2000</v>
      </c>
      <c r="M28" s="19">
        <v>2001</v>
      </c>
      <c r="N28" s="19"/>
      <c r="O28" s="19"/>
      <c r="P28" s="19"/>
      <c r="Q28" s="19"/>
      <c r="R28" s="19"/>
      <c r="S28" s="19"/>
      <c r="T28" s="19"/>
      <c r="U28" s="18"/>
      <c r="V28" s="18"/>
      <c r="W28" s="18"/>
      <c r="X28" s="18"/>
      <c r="Y28" s="18"/>
      <c r="Z28" s="18"/>
      <c r="AA28" s="18"/>
    </row>
    <row r="29" spans="1:27" ht="12.75">
      <c r="A29" s="19" t="s">
        <v>20</v>
      </c>
      <c r="B29" s="19"/>
      <c r="C29" s="21">
        <f aca="true" t="shared" si="20" ref="C29:M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21">
        <f t="shared" si="20"/>
        <v>0.8109302162163288</v>
      </c>
      <c r="M29" s="21">
        <f t="shared" si="20"/>
        <v>0.6418538861723947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2.75">
      <c r="A30" s="19"/>
      <c r="B30" s="19"/>
      <c r="C30" s="21">
        <f aca="true" t="shared" si="21" ref="C30:M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21">
        <f t="shared" si="21"/>
        <v>48.3144955843227</v>
      </c>
      <c r="M30" s="21">
        <f t="shared" si="21"/>
        <v>50.75088550025579</v>
      </c>
      <c r="N30" s="19"/>
      <c r="O30" s="19"/>
      <c r="P30" s="19"/>
      <c r="Q30" s="19"/>
      <c r="R30" s="19"/>
      <c r="S30" s="19"/>
      <c r="T30" s="19"/>
      <c r="U30" s="18"/>
      <c r="V30" s="18"/>
      <c r="W30" s="18"/>
      <c r="X30" s="18"/>
      <c r="Y30" s="18"/>
      <c r="Z30" s="18"/>
      <c r="AA30" s="18"/>
    </row>
    <row r="31" spans="1:27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8"/>
      <c r="V31" s="18"/>
      <c r="W31" s="18"/>
      <c r="X31" s="18"/>
      <c r="Y31" s="18"/>
      <c r="Z31" s="18"/>
      <c r="AA31" s="18"/>
    </row>
    <row r="32" spans="1:27" ht="12.75">
      <c r="A32" s="19" t="s">
        <v>17</v>
      </c>
      <c r="B32" s="19"/>
      <c r="C32" s="21">
        <f aca="true" t="shared" si="22" ref="C32:M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21">
        <f t="shared" si="22"/>
        <v>1.8309801823813363</v>
      </c>
      <c r="M32" s="21">
        <f t="shared" si="22"/>
        <v>2.341805806147327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>
      <c r="A33" s="19"/>
      <c r="B33" s="19"/>
      <c r="C33" s="21">
        <f aca="true" t="shared" si="23" ref="C33:M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21">
        <f t="shared" si="23"/>
        <v>48.56191558916091</v>
      </c>
      <c r="M33" s="21">
        <f t="shared" si="23"/>
        <v>53.57311495830528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21">
        <f>LN(L10)</f>
        <v>2.70805020110221</v>
      </c>
      <c r="M35" s="21">
        <f>LN(M10)</f>
        <v>3.4011973816621555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2.75">
      <c r="A36" s="19"/>
      <c r="B36" s="19"/>
      <c r="C36" s="21">
        <f aca="true" t="shared" si="25" ref="C36:M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21">
        <f t="shared" si="25"/>
        <v>43.20008389989387</v>
      </c>
      <c r="M36" s="21">
        <f t="shared" si="25"/>
        <v>53.19526624356828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.75">
      <c r="A42" s="18"/>
      <c r="B42" s="18"/>
      <c r="C42" s="18"/>
      <c r="D42" s="18"/>
      <c r="E42" s="18"/>
      <c r="F42" s="18"/>
      <c r="G42" s="166" t="s">
        <v>74</v>
      </c>
      <c r="H42" s="166" t="s">
        <v>82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.75">
      <c r="A43" s="18"/>
      <c r="B43" s="18"/>
      <c r="C43" s="18"/>
      <c r="D43" s="18"/>
      <c r="E43" s="18"/>
      <c r="F43" s="18"/>
      <c r="G43" s="166" t="s">
        <v>72</v>
      </c>
      <c r="H43" s="166" t="s">
        <v>81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.75">
      <c r="A44" s="18"/>
      <c r="B44" s="18"/>
      <c r="C44" s="18"/>
      <c r="D44" s="18"/>
      <c r="E44" s="18"/>
      <c r="F44" s="18"/>
      <c r="G44" s="166" t="s">
        <v>69</v>
      </c>
      <c r="H44" s="166" t="s">
        <v>80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.75">
      <c r="A45" s="18"/>
      <c r="B45" s="18"/>
      <c r="C45" s="18"/>
      <c r="D45" s="18"/>
      <c r="E45" s="18"/>
      <c r="F45" s="18"/>
      <c r="G45" s="166" t="s">
        <v>67</v>
      </c>
      <c r="H45" s="166" t="s">
        <v>79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.75">
      <c r="A46" s="20" t="s">
        <v>46</v>
      </c>
      <c r="B46" s="19"/>
      <c r="C46" s="19" t="s">
        <v>45</v>
      </c>
      <c r="D46" s="19"/>
      <c r="E46" s="19"/>
      <c r="F46" s="19"/>
      <c r="G46" s="166" t="s">
        <v>65</v>
      </c>
      <c r="H46" s="166" t="s">
        <v>78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.75">
      <c r="A47" s="20" t="s">
        <v>44</v>
      </c>
      <c r="B47" s="19"/>
      <c r="C47" s="19" t="s">
        <v>43</v>
      </c>
      <c r="D47" s="19"/>
      <c r="E47" s="19"/>
      <c r="F47" s="19"/>
      <c r="G47" s="166" t="s">
        <v>62</v>
      </c>
      <c r="H47" s="166" t="s">
        <v>77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.75">
      <c r="A48" s="20" t="s">
        <v>42</v>
      </c>
      <c r="B48" s="19"/>
      <c r="C48" s="19" t="s">
        <v>41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7"/>
  <sheetViews>
    <sheetView workbookViewId="0" topLeftCell="A11">
      <selection activeCell="P16" sqref="P16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2000</v>
      </c>
      <c r="B1" s="10" t="s">
        <v>15</v>
      </c>
    </row>
    <row r="2" spans="2:4" ht="12.75">
      <c r="B2" s="10" t="s">
        <v>35</v>
      </c>
      <c r="C2" s="10" t="s">
        <v>17</v>
      </c>
      <c r="D2" s="10" t="s">
        <v>16</v>
      </c>
    </row>
    <row r="3" spans="1:5" ht="16.5">
      <c r="A3" s="152" t="s">
        <v>83</v>
      </c>
      <c r="B3" s="150">
        <v>10</v>
      </c>
      <c r="C3" s="9">
        <v>9.44</v>
      </c>
      <c r="E3" s="10" t="s">
        <v>83</v>
      </c>
    </row>
    <row r="4" spans="1:5" ht="16.5">
      <c r="A4" s="152" t="s">
        <v>0</v>
      </c>
      <c r="B4" s="150">
        <v>10</v>
      </c>
      <c r="C4" s="153">
        <v>4.43</v>
      </c>
      <c r="D4" s="10">
        <v>2</v>
      </c>
      <c r="E4" s="10" t="s">
        <v>0</v>
      </c>
    </row>
    <row r="5" spans="1:5" ht="16.5">
      <c r="A5" s="152" t="s">
        <v>1</v>
      </c>
      <c r="B5" s="151">
        <v>35</v>
      </c>
      <c r="C5" s="153">
        <v>8.11</v>
      </c>
      <c r="D5" s="10">
        <v>2</v>
      </c>
      <c r="E5" s="10" t="s">
        <v>1</v>
      </c>
    </row>
    <row r="6" spans="1:5" ht="16.5">
      <c r="A6" s="152" t="s">
        <v>2</v>
      </c>
      <c r="B6" s="150">
        <v>10</v>
      </c>
      <c r="C6" s="154">
        <v>8.15</v>
      </c>
      <c r="D6" s="10">
        <v>2.5</v>
      </c>
      <c r="E6" s="10" t="s">
        <v>2</v>
      </c>
    </row>
    <row r="7" spans="1:5" ht="16.5">
      <c r="A7" s="152" t="s">
        <v>3</v>
      </c>
      <c r="B7" s="150">
        <v>17</v>
      </c>
      <c r="C7" s="155">
        <v>7.28</v>
      </c>
      <c r="D7" s="10">
        <v>2</v>
      </c>
      <c r="E7" s="10" t="s">
        <v>3</v>
      </c>
    </row>
    <row r="8" spans="1:5" ht="16.5">
      <c r="A8" s="152" t="s">
        <v>4</v>
      </c>
      <c r="B8" s="151">
        <v>20</v>
      </c>
      <c r="C8" s="154">
        <v>13.8</v>
      </c>
      <c r="D8" s="10">
        <v>3</v>
      </c>
      <c r="E8" s="10" t="s">
        <v>4</v>
      </c>
    </row>
    <row r="9" spans="1:5" ht="16.5">
      <c r="A9" s="152" t="s">
        <v>5</v>
      </c>
      <c r="B9" s="150">
        <v>30</v>
      </c>
      <c r="C9" s="154">
        <v>10.55</v>
      </c>
      <c r="D9" s="10">
        <v>1.5</v>
      </c>
      <c r="E9" s="10" t="s">
        <v>5</v>
      </c>
    </row>
    <row r="10" spans="1:5" ht="16.5">
      <c r="A10" s="152" t="s">
        <v>6</v>
      </c>
      <c r="B10" s="150">
        <v>31</v>
      </c>
      <c r="C10" s="155">
        <v>9.5</v>
      </c>
      <c r="D10" s="10">
        <v>2.25</v>
      </c>
      <c r="E10" s="10" t="s">
        <v>6</v>
      </c>
    </row>
    <row r="11" spans="1:5" ht="16.5">
      <c r="A11" s="152" t="s">
        <v>7</v>
      </c>
      <c r="B11" s="150">
        <v>27</v>
      </c>
      <c r="C11" s="156">
        <v>11.2</v>
      </c>
      <c r="D11" s="10">
        <v>2</v>
      </c>
      <c r="E11" s="10" t="s">
        <v>7</v>
      </c>
    </row>
    <row r="12" spans="1:5" ht="16.5">
      <c r="A12" s="152" t="s">
        <v>8</v>
      </c>
      <c r="B12" s="151">
        <v>30</v>
      </c>
      <c r="C12" s="154">
        <v>15.3</v>
      </c>
      <c r="D12" s="10">
        <v>2</v>
      </c>
      <c r="E12" s="10" t="s">
        <v>8</v>
      </c>
    </row>
    <row r="13" spans="1:5" ht="16.5">
      <c r="A13" s="152" t="s">
        <v>9</v>
      </c>
      <c r="B13" s="150">
        <v>30</v>
      </c>
      <c r="C13" s="145">
        <v>15.3</v>
      </c>
      <c r="D13" s="10">
        <v>1.5</v>
      </c>
      <c r="E13" s="10" t="s">
        <v>9</v>
      </c>
    </row>
    <row r="14" spans="1:5" ht="16.5">
      <c r="A14" s="152" t="s">
        <v>10</v>
      </c>
      <c r="B14" s="150"/>
      <c r="E14" s="10" t="s">
        <v>10</v>
      </c>
    </row>
    <row r="15" spans="1:4" ht="12.75">
      <c r="A15" s="146" t="s">
        <v>95</v>
      </c>
      <c r="B15" s="17">
        <f>AVERAGE(B3:B14)</f>
        <v>22.727272727272727</v>
      </c>
      <c r="C15" s="17">
        <f>AVERAGE(C3:C14)</f>
        <v>10.278181818181817</v>
      </c>
      <c r="D15" s="17">
        <f>AVERAGE(D3:D14)</f>
        <v>2.075</v>
      </c>
    </row>
    <row r="16" spans="1:4" ht="12.75">
      <c r="A16" s="146" t="s">
        <v>139</v>
      </c>
      <c r="B16" s="17">
        <f>AVERAGE(B9:B11)</f>
        <v>29.333333333333332</v>
      </c>
      <c r="C16" s="13">
        <f>AVERAGE(C9:C11)</f>
        <v>10.416666666666666</v>
      </c>
      <c r="D16" s="17">
        <f>AVERAGE(D9:D11)</f>
        <v>1.9166666666666667</v>
      </c>
    </row>
    <row r="17" spans="1:2" ht="12.75">
      <c r="A17" s="12"/>
      <c r="B17" s="87"/>
    </row>
    <row r="19" spans="1:7" ht="12.75">
      <c r="A19" s="10" t="s">
        <v>95</v>
      </c>
      <c r="B19" s="9" t="s">
        <v>17</v>
      </c>
      <c r="C19" s="9" t="s">
        <v>35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7" ht="12.75">
      <c r="A37" s="10">
        <v>2000</v>
      </c>
      <c r="B37" s="9">
        <v>7.5</v>
      </c>
      <c r="C37" s="9">
        <v>12</v>
      </c>
      <c r="E37" s="1"/>
      <c r="F37" s="16"/>
      <c r="G37"/>
    </row>
    <row r="38" spans="1:7" ht="12.75">
      <c r="A38" s="10">
        <v>2001</v>
      </c>
      <c r="B38" s="9">
        <v>10</v>
      </c>
      <c r="C38" s="9">
        <v>23</v>
      </c>
      <c r="E38" s="1"/>
      <c r="F38" s="16"/>
      <c r="G38"/>
    </row>
    <row r="39" spans="1:10" ht="12.75">
      <c r="A39" s="10" t="s">
        <v>138</v>
      </c>
      <c r="B39" s="9" t="s">
        <v>17</v>
      </c>
      <c r="C39" s="9" t="s">
        <v>35</v>
      </c>
      <c r="D39" s="10" t="s">
        <v>39</v>
      </c>
      <c r="E39" s="1" t="s">
        <v>40</v>
      </c>
      <c r="F39" s="16"/>
      <c r="G39" t="s">
        <v>109</v>
      </c>
      <c r="H39" s="10" t="s">
        <v>35</v>
      </c>
      <c r="I39" s="10" t="s">
        <v>110</v>
      </c>
      <c r="J39" s="10" t="s">
        <v>111</v>
      </c>
    </row>
    <row r="40" spans="1:11" ht="12.75">
      <c r="A40" s="9">
        <v>1982</v>
      </c>
      <c r="B40" s="9">
        <v>15</v>
      </c>
      <c r="C40" s="9">
        <v>23</v>
      </c>
      <c r="D40" s="10">
        <f>LOG(B40)</f>
        <v>1.1760912590556813</v>
      </c>
      <c r="E40" s="10">
        <f>LOG(C40)</f>
        <v>1.3617278360175928</v>
      </c>
      <c r="F40" s="16"/>
      <c r="G40"/>
      <c r="H40" s="10">
        <v>14.3</v>
      </c>
      <c r="I40" s="10">
        <v>3.3</v>
      </c>
      <c r="J40" s="10">
        <v>4.6</v>
      </c>
      <c r="K40" s="10" t="s">
        <v>112</v>
      </c>
    </row>
    <row r="41" spans="1:7" ht="12.75">
      <c r="A41" s="9">
        <v>1983</v>
      </c>
      <c r="B41" s="9">
        <v>16</v>
      </c>
      <c r="C41" s="9">
        <v>50</v>
      </c>
      <c r="D41" s="10">
        <f aca="true" t="shared" si="0" ref="D41:D58">LOG(B41)</f>
        <v>1.2041199826559248</v>
      </c>
      <c r="E41" s="10">
        <f aca="true" t="shared" si="1" ref="E41:E58">LOG(C41)</f>
        <v>1.6989700043360187</v>
      </c>
      <c r="F41" s="16"/>
      <c r="G41"/>
    </row>
    <row r="42" spans="1:7" ht="12.75">
      <c r="A42" s="9">
        <v>1984</v>
      </c>
      <c r="B42" s="9">
        <v>6.7</v>
      </c>
      <c r="C42" s="9">
        <v>35</v>
      </c>
      <c r="D42" s="10">
        <f t="shared" si="0"/>
        <v>0.8260748027008264</v>
      </c>
      <c r="E42" s="10">
        <f t="shared" si="1"/>
        <v>1.5440680443502757</v>
      </c>
      <c r="F42" s="16"/>
      <c r="G42"/>
    </row>
    <row r="43" spans="1:7" ht="12.75">
      <c r="A43" s="9">
        <v>1985</v>
      </c>
      <c r="B43" s="9">
        <v>8.9</v>
      </c>
      <c r="C43" s="9">
        <v>28</v>
      </c>
      <c r="D43" s="10">
        <f t="shared" si="0"/>
        <v>0.9493900066449128</v>
      </c>
      <c r="E43" s="10">
        <f t="shared" si="1"/>
        <v>1.4471580313422192</v>
      </c>
      <c r="F43" s="16"/>
      <c r="G43"/>
    </row>
    <row r="44" spans="1:7" ht="12.75">
      <c r="A44" s="9">
        <v>1987</v>
      </c>
      <c r="B44" s="9">
        <v>15</v>
      </c>
      <c r="C44" s="9">
        <v>60</v>
      </c>
      <c r="D44" s="10">
        <f t="shared" si="0"/>
        <v>1.1760912590556813</v>
      </c>
      <c r="E44" s="10">
        <f t="shared" si="1"/>
        <v>1.7781512503836436</v>
      </c>
      <c r="F44" s="16"/>
      <c r="G44"/>
    </row>
    <row r="45" spans="1:7" ht="12.75">
      <c r="A45" s="9">
        <v>1988</v>
      </c>
      <c r="B45" s="9">
        <v>9</v>
      </c>
      <c r="C45" s="9">
        <v>15</v>
      </c>
      <c r="D45" s="10">
        <f t="shared" si="0"/>
        <v>0.9542425094393249</v>
      </c>
      <c r="E45" s="10">
        <f t="shared" si="1"/>
        <v>1.1760912590556813</v>
      </c>
      <c r="F45" s="16"/>
      <c r="G45"/>
    </row>
    <row r="46" spans="1:7" ht="12.75">
      <c r="A46" s="9">
        <v>1989</v>
      </c>
      <c r="B46" s="9">
        <v>2.3</v>
      </c>
      <c r="C46" s="9">
        <v>12</v>
      </c>
      <c r="D46" s="10">
        <f t="shared" si="0"/>
        <v>0.36172783601759284</v>
      </c>
      <c r="E46" s="10">
        <f t="shared" si="1"/>
        <v>1.0791812460476249</v>
      </c>
      <c r="F46" s="16"/>
      <c r="G46"/>
    </row>
    <row r="47" spans="1:7" ht="12.75">
      <c r="A47" s="9">
        <v>1990</v>
      </c>
      <c r="B47" s="9">
        <v>6.6</v>
      </c>
      <c r="C47" s="9">
        <v>27</v>
      </c>
      <c r="D47" s="10">
        <f t="shared" si="0"/>
        <v>0.8195439355418687</v>
      </c>
      <c r="E47" s="10">
        <f t="shared" si="1"/>
        <v>1.4313637641589874</v>
      </c>
      <c r="F47" s="16"/>
      <c r="G47"/>
    </row>
    <row r="48" spans="1:7" ht="12.75">
      <c r="A48" s="9">
        <v>1991</v>
      </c>
      <c r="B48" s="9">
        <v>4.6</v>
      </c>
      <c r="C48" s="9">
        <v>29</v>
      </c>
      <c r="D48" s="10">
        <f t="shared" si="0"/>
        <v>0.6627578316815741</v>
      </c>
      <c r="E48" s="10">
        <f t="shared" si="1"/>
        <v>1.462397997898956</v>
      </c>
      <c r="F48" s="16"/>
      <c r="G48"/>
    </row>
    <row r="49" spans="1:7" ht="12.75">
      <c r="A49" s="9">
        <v>1992</v>
      </c>
      <c r="B49" s="9">
        <v>4.5</v>
      </c>
      <c r="C49" s="9">
        <v>27</v>
      </c>
      <c r="D49" s="10">
        <f t="shared" si="0"/>
        <v>0.6532125137753437</v>
      </c>
      <c r="E49" s="10">
        <f t="shared" si="1"/>
        <v>1.4313637641589874</v>
      </c>
      <c r="F49" s="16"/>
      <c r="G49"/>
    </row>
    <row r="50" spans="1:7" ht="12.75">
      <c r="A50" s="9">
        <v>1993</v>
      </c>
      <c r="B50" s="9">
        <v>4.1</v>
      </c>
      <c r="C50" s="9">
        <v>18</v>
      </c>
      <c r="D50" s="10">
        <f t="shared" si="0"/>
        <v>0.6127838567197355</v>
      </c>
      <c r="E50" s="10">
        <f t="shared" si="1"/>
        <v>1.255272505103306</v>
      </c>
      <c r="F50" s="16"/>
      <c r="G50"/>
    </row>
    <row r="51" spans="1:7" ht="12.75">
      <c r="A51" s="9">
        <v>1994</v>
      </c>
      <c r="B51" s="9">
        <v>3.2</v>
      </c>
      <c r="C51" s="9">
        <v>29</v>
      </c>
      <c r="D51" s="10">
        <f t="shared" si="0"/>
        <v>0.505149978319906</v>
      </c>
      <c r="E51" s="10">
        <f t="shared" si="1"/>
        <v>1.462397997898956</v>
      </c>
      <c r="F51" s="16"/>
      <c r="G51"/>
    </row>
    <row r="52" spans="1:7" ht="12.75">
      <c r="A52" s="9">
        <v>1995</v>
      </c>
      <c r="B52" s="9">
        <v>1.2</v>
      </c>
      <c r="C52" s="9">
        <v>20</v>
      </c>
      <c r="D52" s="10">
        <f t="shared" si="0"/>
        <v>0.07918124604762482</v>
      </c>
      <c r="E52" s="10">
        <f t="shared" si="1"/>
        <v>1.3010299956639813</v>
      </c>
      <c r="F52" s="16"/>
      <c r="G52"/>
    </row>
    <row r="53" spans="1:7" ht="12.75">
      <c r="A53" s="9">
        <v>1996</v>
      </c>
      <c r="B53" s="9">
        <v>4.3</v>
      </c>
      <c r="C53" s="9">
        <v>37</v>
      </c>
      <c r="D53" s="10">
        <f t="shared" si="0"/>
        <v>0.6334684555795865</v>
      </c>
      <c r="E53" s="10">
        <f t="shared" si="1"/>
        <v>1.568201724066995</v>
      </c>
      <c r="F53" s="16"/>
      <c r="G53"/>
    </row>
    <row r="54" spans="1:7" ht="12.75">
      <c r="A54" s="9">
        <v>1997</v>
      </c>
      <c r="B54" s="9">
        <v>2.8</v>
      </c>
      <c r="C54" s="9">
        <v>15</v>
      </c>
      <c r="D54" s="10">
        <f t="shared" si="0"/>
        <v>0.4471580313422192</v>
      </c>
      <c r="E54" s="10">
        <f t="shared" si="1"/>
        <v>1.1760912590556813</v>
      </c>
      <c r="F54" s="16"/>
      <c r="G54"/>
    </row>
    <row r="55" spans="1:7" ht="12.75">
      <c r="A55" s="9">
        <v>1998</v>
      </c>
      <c r="B55" s="9">
        <v>2.9</v>
      </c>
      <c r="C55" s="9">
        <v>17</v>
      </c>
      <c r="D55" s="10">
        <f t="shared" si="0"/>
        <v>0.4623979978989561</v>
      </c>
      <c r="E55" s="10">
        <f t="shared" si="1"/>
        <v>1.2304489213782739</v>
      </c>
      <c r="F55" s="16"/>
      <c r="G55"/>
    </row>
    <row r="56" spans="1:7" ht="12.75">
      <c r="A56" s="9">
        <v>1999</v>
      </c>
      <c r="B56" s="9">
        <v>3</v>
      </c>
      <c r="C56" s="9">
        <v>17</v>
      </c>
      <c r="D56" s="10">
        <f t="shared" si="0"/>
        <v>0.47712125471966244</v>
      </c>
      <c r="E56" s="10">
        <f t="shared" si="1"/>
        <v>1.2304489213782739</v>
      </c>
      <c r="F56" s="16"/>
      <c r="G56"/>
    </row>
    <row r="57" spans="1:7" ht="12.75">
      <c r="A57" s="9">
        <v>2000</v>
      </c>
      <c r="B57" s="9">
        <v>6.24</v>
      </c>
      <c r="C57" s="9">
        <v>14</v>
      </c>
      <c r="D57" s="10">
        <f t="shared" si="0"/>
        <v>0.795184589682424</v>
      </c>
      <c r="E57" s="10">
        <f t="shared" si="1"/>
        <v>1.146128035678238</v>
      </c>
      <c r="F57" s="16"/>
      <c r="G57"/>
    </row>
    <row r="58" spans="1:7" ht="12.75">
      <c r="A58" s="9">
        <v>2001</v>
      </c>
      <c r="B58" s="9">
        <v>10.4</v>
      </c>
      <c r="C58" s="9">
        <v>29</v>
      </c>
      <c r="D58" s="10">
        <f t="shared" si="0"/>
        <v>1.0170333392987803</v>
      </c>
      <c r="E58" s="1">
        <f t="shared" si="1"/>
        <v>1.462397997898956</v>
      </c>
      <c r="F58" s="16"/>
      <c r="G58"/>
    </row>
    <row r="59" spans="1:7" ht="12.75">
      <c r="A59" s="7"/>
      <c r="B59" s="7"/>
      <c r="C59" s="7"/>
      <c r="D59" s="7"/>
      <c r="E59" s="114"/>
      <c r="F59" s="115"/>
      <c r="G59"/>
    </row>
    <row r="60" spans="1:7" ht="12.75">
      <c r="A60" s="116" t="s">
        <v>118</v>
      </c>
      <c r="B60" s="117"/>
      <c r="C60" s="117"/>
      <c r="D60" s="7"/>
      <c r="E60" s="114"/>
      <c r="F60" s="115"/>
      <c r="G60"/>
    </row>
    <row r="61" spans="1:7" ht="12.75">
      <c r="A61" s="116" t="s">
        <v>137</v>
      </c>
      <c r="B61" s="117"/>
      <c r="C61" s="117"/>
      <c r="D61" s="7"/>
      <c r="E61" s="114"/>
      <c r="F61" s="115"/>
      <c r="G61"/>
    </row>
    <row r="62" spans="1:7" ht="12.75">
      <c r="A62" s="116" t="s">
        <v>119</v>
      </c>
      <c r="B62" s="117"/>
      <c r="C62" s="117"/>
      <c r="D62" s="7"/>
      <c r="E62" s="114"/>
      <c r="F62" s="115"/>
      <c r="G62"/>
    </row>
    <row r="63" spans="1:7" ht="15.75">
      <c r="A63" s="105"/>
      <c r="B63" s="6" t="s">
        <v>120</v>
      </c>
      <c r="C63" s="7"/>
      <c r="E63" s="1"/>
      <c r="F63" s="16"/>
      <c r="G63"/>
    </row>
    <row r="64" spans="1:7" ht="15.75">
      <c r="A64" s="105"/>
      <c r="B64" s="6" t="s">
        <v>121</v>
      </c>
      <c r="C64" s="6" t="s">
        <v>19</v>
      </c>
      <c r="E64" s="1"/>
      <c r="F64" s="16"/>
      <c r="G64"/>
    </row>
    <row r="65" spans="1:7" ht="12.75">
      <c r="A65"/>
      <c r="B65" s="6" t="s">
        <v>122</v>
      </c>
      <c r="C65" s="6" t="s">
        <v>122</v>
      </c>
      <c r="E65" s="1"/>
      <c r="F65" s="16"/>
      <c r="G65"/>
    </row>
    <row r="66" spans="1:7" ht="18.75">
      <c r="A66" s="106" t="s">
        <v>23</v>
      </c>
      <c r="B66" s="104" t="s">
        <v>130</v>
      </c>
      <c r="C66" s="104" t="s">
        <v>123</v>
      </c>
      <c r="E66" s="1"/>
      <c r="F66" s="16"/>
      <c r="G66"/>
    </row>
    <row r="67" spans="1:7" ht="15.75">
      <c r="A67" s="106">
        <v>1982</v>
      </c>
      <c r="B67" s="140">
        <v>23</v>
      </c>
      <c r="C67" s="107">
        <v>15</v>
      </c>
      <c r="E67" s="1"/>
      <c r="F67" s="16"/>
      <c r="G67"/>
    </row>
    <row r="68" spans="1:7" ht="15.75">
      <c r="A68" s="106">
        <v>1983</v>
      </c>
      <c r="B68" s="140">
        <v>50</v>
      </c>
      <c r="C68" s="107">
        <v>16</v>
      </c>
      <c r="E68" s="1"/>
      <c r="F68" s="16"/>
      <c r="G68"/>
    </row>
    <row r="69" spans="1:7" ht="15.75">
      <c r="A69" s="106">
        <v>1984</v>
      </c>
      <c r="B69" s="140">
        <v>35</v>
      </c>
      <c r="C69" s="106">
        <v>6.7</v>
      </c>
      <c r="E69" s="1"/>
      <c r="F69" s="16"/>
      <c r="G69"/>
    </row>
    <row r="70" spans="1:7" ht="15.75">
      <c r="A70" s="106">
        <v>1985</v>
      </c>
      <c r="B70" s="140">
        <v>28</v>
      </c>
      <c r="C70" s="106">
        <v>8.9</v>
      </c>
      <c r="E70" s="1"/>
      <c r="F70" s="16"/>
      <c r="G70"/>
    </row>
    <row r="71" spans="1:7" ht="18.75">
      <c r="A71" s="106">
        <v>1986</v>
      </c>
      <c r="B71" s="141" t="s">
        <v>124</v>
      </c>
      <c r="C71" s="108" t="s">
        <v>124</v>
      </c>
      <c r="E71" s="1"/>
      <c r="F71" s="16"/>
      <c r="G71"/>
    </row>
    <row r="72" spans="1:7" ht="15.75">
      <c r="A72" s="106">
        <v>1987</v>
      </c>
      <c r="B72" s="140">
        <v>77</v>
      </c>
      <c r="C72" s="109">
        <v>5.683333333333334</v>
      </c>
      <c r="E72" s="1"/>
      <c r="F72" s="16"/>
      <c r="G72"/>
    </row>
    <row r="73" spans="1:7" ht="15.75">
      <c r="A73" s="106">
        <v>1988</v>
      </c>
      <c r="B73" s="140">
        <v>23</v>
      </c>
      <c r="C73" s="110">
        <v>7.6433333333333335</v>
      </c>
      <c r="E73" s="1"/>
      <c r="F73" s="16"/>
      <c r="G73"/>
    </row>
    <row r="74" spans="1:7" ht="15.75">
      <c r="A74" s="106">
        <v>1989</v>
      </c>
      <c r="B74" s="140">
        <v>11</v>
      </c>
      <c r="C74" s="110">
        <v>3.6277777777777778</v>
      </c>
      <c r="E74" s="1"/>
      <c r="F74" s="16"/>
      <c r="G74"/>
    </row>
    <row r="75" spans="1:7" ht="15.75">
      <c r="A75" s="106">
        <v>1990</v>
      </c>
      <c r="B75" s="140">
        <v>15</v>
      </c>
      <c r="C75" s="110">
        <v>7.066666666666666</v>
      </c>
      <c r="E75" s="1"/>
      <c r="F75" s="16"/>
      <c r="G75"/>
    </row>
    <row r="76" spans="1:7" ht="15.75">
      <c r="A76" s="106">
        <v>1991</v>
      </c>
      <c r="B76" s="140">
        <v>25</v>
      </c>
      <c r="C76" s="111">
        <v>2.983333333333333</v>
      </c>
      <c r="E76" s="1"/>
      <c r="F76" s="16"/>
      <c r="G76"/>
    </row>
    <row r="77" spans="1:7" ht="15.75">
      <c r="A77" s="106">
        <v>1992</v>
      </c>
      <c r="B77" s="140">
        <v>15</v>
      </c>
      <c r="C77" s="111">
        <v>3.9291666666666663</v>
      </c>
      <c r="E77" s="1"/>
      <c r="F77" s="16"/>
      <c r="G77"/>
    </row>
    <row r="78" spans="1:7" ht="15.75">
      <c r="A78" s="106">
        <v>1993</v>
      </c>
      <c r="B78" s="140">
        <v>15</v>
      </c>
      <c r="C78" s="111">
        <v>3.9916666666666667</v>
      </c>
      <c r="E78" s="1"/>
      <c r="F78" s="16"/>
      <c r="G78"/>
    </row>
    <row r="79" spans="1:7" ht="15.75">
      <c r="A79" s="106">
        <v>1994</v>
      </c>
      <c r="B79" s="142">
        <v>13</v>
      </c>
      <c r="C79" s="112">
        <v>3.016666666666666</v>
      </c>
      <c r="E79" s="1"/>
      <c r="F79" s="16"/>
      <c r="G79"/>
    </row>
    <row r="80" spans="1:7" ht="15.75">
      <c r="A80" s="106">
        <v>1995</v>
      </c>
      <c r="B80" s="142">
        <v>10</v>
      </c>
      <c r="C80" s="112">
        <v>3.5708333333333333</v>
      </c>
      <c r="E80" s="1"/>
      <c r="F80" s="16"/>
      <c r="G80"/>
    </row>
    <row r="81" spans="1:7" ht="15.75">
      <c r="A81" s="106">
        <v>1996</v>
      </c>
      <c r="B81" s="142">
        <v>19</v>
      </c>
      <c r="C81" s="112">
        <v>3.9142857142857146</v>
      </c>
      <c r="E81" s="1"/>
      <c r="F81" s="16"/>
      <c r="G81"/>
    </row>
    <row r="82" spans="1:7" ht="15.75">
      <c r="A82" s="106">
        <v>1997</v>
      </c>
      <c r="B82" s="142">
        <v>15</v>
      </c>
      <c r="C82" s="112">
        <v>2.411111111111111</v>
      </c>
      <c r="E82" s="1"/>
      <c r="F82" s="16"/>
      <c r="G82"/>
    </row>
    <row r="83" spans="1:7" ht="15.75">
      <c r="A83" s="106">
        <v>1998</v>
      </c>
      <c r="B83" s="143">
        <v>24</v>
      </c>
      <c r="C83" s="110">
        <v>3.8</v>
      </c>
      <c r="E83" s="1"/>
      <c r="F83" s="16"/>
      <c r="G83"/>
    </row>
    <row r="84" spans="1:7" ht="15.75">
      <c r="A84" s="147">
        <v>1999</v>
      </c>
      <c r="B84" s="148">
        <v>17</v>
      </c>
      <c r="C84" s="149">
        <v>4.7</v>
      </c>
      <c r="E84" s="1"/>
      <c r="F84" s="16"/>
      <c r="G84"/>
    </row>
    <row r="85" spans="1:7" ht="12.75">
      <c r="A85" s="9">
        <v>2000</v>
      </c>
      <c r="B85" s="9">
        <v>14</v>
      </c>
      <c r="C85" s="25">
        <v>6.24</v>
      </c>
      <c r="E85" s="1"/>
      <c r="F85" s="16"/>
      <c r="G85"/>
    </row>
    <row r="86" spans="1:7" ht="15.75">
      <c r="A86" s="147"/>
      <c r="B86" s="148"/>
      <c r="C86" s="149"/>
      <c r="E86" s="1"/>
      <c r="F86" s="16"/>
      <c r="G86"/>
    </row>
    <row r="87" spans="1:7" ht="15.75">
      <c r="A87" s="105"/>
      <c r="B87" s="113"/>
      <c r="C87" s="106"/>
      <c r="E87" s="1"/>
      <c r="F87" s="16"/>
      <c r="G87"/>
    </row>
    <row r="88" spans="1:7" ht="15.75">
      <c r="A88" s="106" t="s">
        <v>125</v>
      </c>
      <c r="B88" s="140">
        <f>AVERAGE(B67:B70,B72:B85)</f>
        <v>23.833333333333332</v>
      </c>
      <c r="C88" s="109">
        <f>AVERAGE(C67:C70,C72:C85)</f>
        <v>6.06545414462081</v>
      </c>
      <c r="E88" s="1"/>
      <c r="F88" s="16"/>
      <c r="G88"/>
    </row>
    <row r="89" spans="1:7" ht="15.75">
      <c r="A89" s="106" t="s">
        <v>126</v>
      </c>
      <c r="B89" s="140">
        <f>STDEVP(B67:B70,B72:B85)</f>
        <v>16.00086803200932</v>
      </c>
      <c r="C89" s="109">
        <f>STDEVP(C67:C70,C72:C85)</f>
        <v>3.767035447443945</v>
      </c>
      <c r="E89" s="1"/>
      <c r="F89" s="16"/>
      <c r="G89"/>
    </row>
    <row r="90" spans="1:7" ht="15.75">
      <c r="A90" s="106" t="s">
        <v>127</v>
      </c>
      <c r="B90" s="140">
        <f>MAX(B67:B70,B72:B84)</f>
        <v>77</v>
      </c>
      <c r="C90" s="109">
        <f>MAX(C67:C70,C72:C85)</f>
        <v>16</v>
      </c>
      <c r="E90" s="1"/>
      <c r="F90" s="16"/>
      <c r="G90"/>
    </row>
    <row r="91" spans="1:7" ht="15.75">
      <c r="A91" s="106" t="s">
        <v>128</v>
      </c>
      <c r="B91" s="140">
        <f>MIN(B67:B70,B72:B85)</f>
        <v>10</v>
      </c>
      <c r="C91" s="109">
        <f>MIN(C67:C70,C72:C85)</f>
        <v>2.411111111111111</v>
      </c>
      <c r="E91" s="1"/>
      <c r="F91" s="16"/>
      <c r="G91"/>
    </row>
    <row r="92" spans="1:7" ht="15.75">
      <c r="A92" s="106" t="s">
        <v>129</v>
      </c>
      <c r="B92" s="107">
        <f>COUNTA(B67:B70,B72:B85)</f>
        <v>18</v>
      </c>
      <c r="C92" s="107">
        <f>COUNTA(C67:C70,C72:C85)</f>
        <v>18</v>
      </c>
      <c r="E92" s="1"/>
      <c r="F92" s="16"/>
      <c r="G92"/>
    </row>
    <row r="93" spans="5:7" ht="12.75">
      <c r="E93" s="1"/>
      <c r="F93" s="16"/>
      <c r="G93"/>
    </row>
    <row r="94" spans="5:7" ht="12.75">
      <c r="E94" s="1"/>
      <c r="F94" s="16"/>
      <c r="G94"/>
    </row>
    <row r="95" spans="5:7" ht="12.75">
      <c r="E95" s="1"/>
      <c r="F95" s="16"/>
      <c r="G95"/>
    </row>
    <row r="96" spans="5:7" ht="12.75">
      <c r="E96" s="1"/>
      <c r="F96" s="16"/>
      <c r="G96"/>
    </row>
    <row r="97" spans="5:7" ht="12.75">
      <c r="E97" s="1"/>
      <c r="F97" s="16"/>
      <c r="G97"/>
    </row>
    <row r="235" spans="5:7" ht="12.75">
      <c r="E235"/>
      <c r="F235" s="16"/>
      <c r="G235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  <row r="374" spans="5:7" ht="12.75">
      <c r="E374"/>
      <c r="F374" s="16"/>
      <c r="G374"/>
    </row>
    <row r="375" spans="5:7" ht="12.75">
      <c r="E375"/>
      <c r="F375" s="16"/>
      <c r="G375"/>
    </row>
    <row r="376" spans="5:7" ht="12.75">
      <c r="E376"/>
      <c r="F376" s="16"/>
      <c r="G376"/>
    </row>
    <row r="377" spans="5:7" ht="12.75">
      <c r="E377"/>
      <c r="F377" s="16"/>
      <c r="G37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63">
      <selection activeCell="H128" sqref="H128"/>
    </sheetView>
  </sheetViews>
  <sheetFormatPr defaultColWidth="9.140625" defaultRowHeight="12.75"/>
  <cols>
    <col min="1" max="1" width="7.28125" style="10" customWidth="1"/>
    <col min="2" max="4" width="12.57421875" style="10" bestFit="1" customWidth="1"/>
    <col min="5" max="5" width="11.57421875" style="10" bestFit="1" customWidth="1"/>
    <col min="6" max="6" width="12.57421875" style="10" customWidth="1"/>
    <col min="7" max="7" width="11.421875" style="10" customWidth="1"/>
    <col min="8" max="16384" width="9.140625" style="10" customWidth="1"/>
  </cols>
  <sheetData>
    <row r="1" spans="1:7" ht="15.75">
      <c r="A1" s="235" t="s">
        <v>160</v>
      </c>
      <c r="B1" s="236"/>
      <c r="C1" s="236"/>
      <c r="D1" s="236"/>
      <c r="E1" s="236"/>
      <c r="F1" s="236"/>
      <c r="G1" s="237"/>
    </row>
    <row r="2" spans="1:7" ht="12.75">
      <c r="A2" s="48" t="s">
        <v>12</v>
      </c>
      <c r="B2" s="48" t="s">
        <v>100</v>
      </c>
      <c r="C2" s="48" t="s">
        <v>84</v>
      </c>
      <c r="D2" s="51" t="s">
        <v>101</v>
      </c>
      <c r="E2" s="51" t="s">
        <v>11</v>
      </c>
      <c r="F2" s="51" t="s">
        <v>102</v>
      </c>
      <c r="G2" s="85" t="s">
        <v>115</v>
      </c>
    </row>
    <row r="3" spans="1:7" ht="12.75">
      <c r="A3" s="52" t="s">
        <v>83</v>
      </c>
      <c r="B3" s="28">
        <f>(F116*Nutrient!B109)*2.723</f>
        <v>1792.75738509</v>
      </c>
      <c r="C3" s="28">
        <f>(G116*Nutrient!B87)*2.723</f>
        <v>2137.248019872</v>
      </c>
      <c r="D3" s="28">
        <f>(H116*Nutrient!B126)*2.723</f>
        <v>2274.8434046100006</v>
      </c>
      <c r="E3" s="28">
        <f>(I116*Nutrient!B68)*2.723</f>
        <v>523.7285753279999</v>
      </c>
      <c r="F3" s="28">
        <f aca="true" t="shared" si="0" ref="F3:F14">(B3+C3)-E3</f>
        <v>3406.2768296340005</v>
      </c>
      <c r="G3" s="28">
        <f>SUM(B3:C3)</f>
        <v>3930.0054049620003</v>
      </c>
    </row>
    <row r="4" spans="1:7" ht="12.75">
      <c r="A4" s="52" t="s">
        <v>0</v>
      </c>
      <c r="B4" s="28">
        <f>(F117*Nutrient!B110)*2.723</f>
        <v>1592.6549689679998</v>
      </c>
      <c r="C4" s="28">
        <f>(G117*Nutrient!B88)*2.723</f>
        <v>1862.230041084</v>
      </c>
      <c r="D4" s="28">
        <f>(H117*Nutrient!B127)*2.723</f>
        <v>2000.2682019599997</v>
      </c>
      <c r="E4" s="28">
        <f>(I117*Nutrient!B69)*2.723</f>
        <v>698.5063562400001</v>
      </c>
      <c r="F4" s="28">
        <f t="shared" si="0"/>
        <v>2756.378653812</v>
      </c>
      <c r="G4" s="28">
        <f aca="true" t="shared" si="1" ref="G4:G14">SUM(B4:C4)</f>
        <v>3454.885010052</v>
      </c>
    </row>
    <row r="5" spans="1:7" ht="12.75">
      <c r="A5" s="52" t="s">
        <v>1</v>
      </c>
      <c r="B5" s="28">
        <f>(F118*Nutrient!B111)*2.723</f>
        <v>1030.458866724</v>
      </c>
      <c r="C5" s="28">
        <f>(G118*Nutrient!B89)*2.723</f>
        <v>1699.0184368499997</v>
      </c>
      <c r="D5" s="28">
        <f>(H118*Nutrient!B128)*2.723</f>
        <v>3967.5846797474996</v>
      </c>
      <c r="E5" s="28">
        <f>(I118*Nutrient!B70)*2.723</f>
        <v>618.6770583840001</v>
      </c>
      <c r="F5" s="28">
        <f t="shared" si="0"/>
        <v>2110.8002451899997</v>
      </c>
      <c r="G5" s="28">
        <f t="shared" si="1"/>
        <v>2729.477303574</v>
      </c>
    </row>
    <row r="6" spans="1:7" ht="12.75">
      <c r="A6" s="52" t="s">
        <v>2</v>
      </c>
      <c r="B6" s="28">
        <f>(F119*Nutrient!B112)*2.723</f>
        <v>1207.15894404</v>
      </c>
      <c r="C6" s="28">
        <f>(G119*Nutrient!B90)*2.723</f>
        <v>1827.2615256</v>
      </c>
      <c r="D6" s="28">
        <f>(H119*Nutrient!B129)*2.723</f>
        <v>3401.8166699999997</v>
      </c>
      <c r="E6" s="28">
        <f>(I119*Nutrient!B71)*2.723</f>
        <v>386.83515276</v>
      </c>
      <c r="F6" s="28">
        <f t="shared" si="0"/>
        <v>2647.5853168800004</v>
      </c>
      <c r="G6" s="28">
        <f t="shared" si="1"/>
        <v>3034.42046964</v>
      </c>
    </row>
    <row r="7" spans="1:7" ht="12.75">
      <c r="A7" s="52" t="s">
        <v>3</v>
      </c>
      <c r="B7" s="28">
        <f>(F120*Nutrient!B113)*2.723</f>
        <v>1412.2776898230002</v>
      </c>
      <c r="C7" s="28">
        <f>(G120*Nutrient!B91)*2.723</f>
        <v>2819.1988683179998</v>
      </c>
      <c r="D7" s="28">
        <f>(H120*Nutrient!B130)*2.723</f>
        <v>10524.986789590002</v>
      </c>
      <c r="E7" s="28">
        <f>(I120*Nutrient!B72)*2.723</f>
        <v>957.4763998800001</v>
      </c>
      <c r="F7" s="28">
        <f t="shared" si="0"/>
        <v>3274.0001582610003</v>
      </c>
      <c r="G7" s="28">
        <f t="shared" si="1"/>
        <v>4231.476558141</v>
      </c>
    </row>
    <row r="8" spans="1:7" ht="12.75">
      <c r="A8" s="52" t="s">
        <v>4</v>
      </c>
      <c r="B8" s="28">
        <f>(F121*Nutrient!B114)*2.723</f>
        <v>2637.2178756</v>
      </c>
      <c r="C8" s="28">
        <f>(G121*Nutrient!B92)*2.723</f>
        <v>860.65961751</v>
      </c>
      <c r="D8" s="28">
        <f>(H121*Nutrient!B131)*2.723</f>
        <v>2456.3951204625</v>
      </c>
      <c r="E8" s="28">
        <f>(I121*Nutrient!B73)*2.723</f>
        <v>403.3582623</v>
      </c>
      <c r="F8" s="28">
        <f t="shared" si="0"/>
        <v>3094.5192308099995</v>
      </c>
      <c r="G8" s="28">
        <f t="shared" si="1"/>
        <v>3497.8774931099997</v>
      </c>
    </row>
    <row r="9" spans="1:7" ht="12.75">
      <c r="A9" s="52" t="s">
        <v>5</v>
      </c>
      <c r="B9" s="28">
        <f>(F122*Nutrient!B115)*2.723</f>
        <v>3339.4500310500002</v>
      </c>
      <c r="C9" s="28">
        <f>(G122*Nutrient!B93)*2.723</f>
        <v>17.124097151700003</v>
      </c>
      <c r="D9" s="28">
        <f>(H122*Nutrient!B132)*2.723</f>
        <v>16463.237566607997</v>
      </c>
      <c r="E9" s="28">
        <f>(I122*Nutrient!B74)*2.723</f>
        <v>284.56466429999995</v>
      </c>
      <c r="F9" s="28">
        <f t="shared" si="0"/>
        <v>3072.0094639017</v>
      </c>
      <c r="G9" s="28">
        <f t="shared" si="1"/>
        <v>3356.5741282017</v>
      </c>
    </row>
    <row r="10" spans="1:7" ht="12.75">
      <c r="A10" s="52" t="s">
        <v>6</v>
      </c>
      <c r="B10" s="28">
        <f>(F123*Nutrient!B116)*2.723</f>
        <v>1747.5618207599994</v>
      </c>
      <c r="C10" s="28">
        <f>(G123*Nutrient!B94)*2.723</f>
        <v>0</v>
      </c>
      <c r="D10" s="28">
        <f>(H123*Nutrient!B133)*2.723</f>
        <v>0</v>
      </c>
      <c r="E10" s="28">
        <f>(I123*Nutrient!B75)*2.723</f>
        <v>310.34287506600003</v>
      </c>
      <c r="F10" s="28">
        <f t="shared" si="0"/>
        <v>1437.2189456939993</v>
      </c>
      <c r="G10" s="28">
        <f t="shared" si="1"/>
        <v>1747.5618207599994</v>
      </c>
    </row>
    <row r="11" spans="1:7" ht="12.75">
      <c r="A11" s="52" t="s">
        <v>7</v>
      </c>
      <c r="B11" s="28">
        <f>(F124*Nutrient!B117)*2.723</f>
        <v>1373.6859696</v>
      </c>
      <c r="C11" s="28">
        <f>(G124*Nutrient!B95)*2.723</f>
        <v>0</v>
      </c>
      <c r="D11" s="28">
        <f>(H124*Nutrient!B134)*2.723</f>
        <v>3148.030347</v>
      </c>
      <c r="E11" s="28">
        <f>(I124*Nutrient!B76)*2.723</f>
        <v>33.85617542999999</v>
      </c>
      <c r="F11" s="28">
        <f t="shared" si="0"/>
        <v>1339.82979417</v>
      </c>
      <c r="G11" s="28">
        <f t="shared" si="1"/>
        <v>1373.6859696</v>
      </c>
    </row>
    <row r="12" spans="1:7" ht="12.75">
      <c r="A12" s="52" t="s">
        <v>8</v>
      </c>
      <c r="B12" s="28">
        <f>(F125*Nutrient!B118)*2.723</f>
        <v>1001.6676183359999</v>
      </c>
      <c r="C12" s="28">
        <f>(G125*Nutrient!B96)*2.723</f>
        <v>0</v>
      </c>
      <c r="D12" s="28">
        <f>(H125*Nutrient!B135)*2.723</f>
        <v>2670.890460924</v>
      </c>
      <c r="E12" s="28">
        <f>(I125*Nutrient!B77)*2.723</f>
        <v>0.33478195800000005</v>
      </c>
      <c r="F12" s="28">
        <f t="shared" si="0"/>
        <v>1001.3328363779999</v>
      </c>
      <c r="G12" s="28">
        <f t="shared" si="1"/>
        <v>1001.6676183359999</v>
      </c>
    </row>
    <row r="13" spans="1:7" ht="12.75">
      <c r="A13" s="52" t="s">
        <v>9</v>
      </c>
      <c r="B13" s="28">
        <f>(F126*Nutrient!B119)*2.723</f>
        <v>2114.95802112</v>
      </c>
      <c r="C13" s="28">
        <f>(G126*Nutrient!B97)*2.723</f>
        <v>870.8650675199999</v>
      </c>
      <c r="D13" s="28">
        <f>(H126*Nutrient!B136)*2.723</f>
        <v>4920.214840800001</v>
      </c>
      <c r="E13" s="28">
        <f>(I126*Nutrient!B78)*2.723</f>
        <v>0</v>
      </c>
      <c r="F13" s="28">
        <f t="shared" si="0"/>
        <v>2985.8230886399997</v>
      </c>
      <c r="G13" s="28">
        <f t="shared" si="1"/>
        <v>2985.8230886399997</v>
      </c>
    </row>
    <row r="14" spans="1:7" ht="12.75">
      <c r="A14" s="52" t="s">
        <v>10</v>
      </c>
      <c r="B14" s="28">
        <f>(F127*Nutrient!B120)*2.723</f>
        <v>3207.21115764</v>
      </c>
      <c r="C14" s="28">
        <f>(G127*Nutrient!B98)*2.723</f>
        <v>1722.4531739099998</v>
      </c>
      <c r="D14" s="28">
        <f>(H127*Nutrient!B137)*2.723</f>
        <v>0</v>
      </c>
      <c r="E14" s="28">
        <f>(I127*Nutrient!B79)*2.723</f>
        <v>2.3936909997</v>
      </c>
      <c r="F14" s="28">
        <f t="shared" si="0"/>
        <v>4927.2706405502995</v>
      </c>
      <c r="G14" s="28">
        <f t="shared" si="1"/>
        <v>4929.66433155</v>
      </c>
    </row>
    <row r="15" spans="1:8" ht="12.75">
      <c r="A15" s="54" t="s">
        <v>34</v>
      </c>
      <c r="B15" s="205">
        <f>SUM(B3:B14)</f>
        <v>22457.060348751</v>
      </c>
      <c r="C15" s="205">
        <f>SUM(C3:C14)</f>
        <v>13816.0588478157</v>
      </c>
      <c r="D15" s="205">
        <f>SUM(D3:D14)</f>
        <v>51828.268081702</v>
      </c>
      <c r="E15" s="205">
        <f>SUM(E3:E14)</f>
        <v>4220.0739926457</v>
      </c>
      <c r="F15" s="205">
        <f>SUM(F3:F14)</f>
        <v>32053.045203921</v>
      </c>
      <c r="G15" s="205">
        <f>SUM(B15:C15)</f>
        <v>36273.1191965667</v>
      </c>
      <c r="H15" s="10" t="s">
        <v>140</v>
      </c>
    </row>
    <row r="16" spans="2:8" ht="12.75">
      <c r="B16" s="49"/>
      <c r="C16" s="49"/>
      <c r="D16" s="49"/>
      <c r="E16" s="49"/>
      <c r="F16" s="49"/>
      <c r="G16" s="49"/>
      <c r="H16" s="10" t="s">
        <v>141</v>
      </c>
    </row>
    <row r="17" spans="2:7" ht="12.75">
      <c r="B17" s="49"/>
      <c r="C17" s="49"/>
      <c r="D17" s="49"/>
      <c r="E17" s="49"/>
      <c r="F17" s="49"/>
      <c r="G17" s="49"/>
    </row>
    <row r="18" spans="2:7" ht="12.75">
      <c r="B18" s="49"/>
      <c r="C18" s="49"/>
      <c r="D18" s="49"/>
      <c r="E18" s="49"/>
      <c r="F18" s="49"/>
      <c r="G18" s="49"/>
    </row>
    <row r="19" spans="2:7" ht="12.75">
      <c r="B19" s="49"/>
      <c r="C19" s="49"/>
      <c r="D19" s="49"/>
      <c r="E19" s="49"/>
      <c r="F19" s="49"/>
      <c r="G19" s="49"/>
    </row>
    <row r="20" spans="2:7" ht="12.75">
      <c r="B20" s="49"/>
      <c r="C20" s="49"/>
      <c r="D20" s="49"/>
      <c r="E20" s="49"/>
      <c r="F20" s="49"/>
      <c r="G20" s="49"/>
    </row>
    <row r="21" spans="2:7" ht="12.75">
      <c r="B21" s="49"/>
      <c r="C21" s="49"/>
      <c r="D21" s="49"/>
      <c r="E21" s="49"/>
      <c r="F21" s="49"/>
      <c r="G21" s="49"/>
    </row>
    <row r="22" spans="2:7" ht="12.75">
      <c r="B22" s="49"/>
      <c r="C22" s="49"/>
      <c r="D22" s="49"/>
      <c r="E22" s="49"/>
      <c r="F22" s="49"/>
      <c r="G22" s="49"/>
    </row>
    <row r="23" spans="2:7" ht="12.75">
      <c r="B23" s="49"/>
      <c r="C23" s="49"/>
      <c r="D23" s="49"/>
      <c r="E23" s="49"/>
      <c r="F23" s="49"/>
      <c r="G23" s="49"/>
    </row>
    <row r="24" spans="2:7" ht="12.75">
      <c r="B24" s="49"/>
      <c r="C24" s="49"/>
      <c r="D24" s="49"/>
      <c r="E24" s="49"/>
      <c r="F24" s="49"/>
      <c r="G24" s="49"/>
    </row>
    <row r="25" spans="2:7" ht="12.75">
      <c r="B25" s="49"/>
      <c r="C25" s="49"/>
      <c r="D25" s="49"/>
      <c r="E25" s="49"/>
      <c r="F25" s="49"/>
      <c r="G25" s="49"/>
    </row>
    <row r="26" spans="2:7" ht="12.75">
      <c r="B26" s="49"/>
      <c r="C26" s="49"/>
      <c r="D26" s="49"/>
      <c r="E26" s="49"/>
      <c r="F26" s="49"/>
      <c r="G26" s="49"/>
    </row>
    <row r="27" spans="2:7" ht="12.75">
      <c r="B27" s="49"/>
      <c r="C27" s="49"/>
      <c r="D27" s="49"/>
      <c r="E27" s="49"/>
      <c r="F27" s="49"/>
      <c r="G27" s="49"/>
    </row>
    <row r="28" spans="2:7" ht="12.75">
      <c r="B28" s="49"/>
      <c r="C28" s="49"/>
      <c r="D28" s="49"/>
      <c r="E28" s="49"/>
      <c r="F28" s="49"/>
      <c r="G28" s="49"/>
    </row>
    <row r="29" spans="2:7" ht="12.75">
      <c r="B29" s="49"/>
      <c r="C29" s="49"/>
      <c r="D29" s="49"/>
      <c r="E29" s="49"/>
      <c r="F29" s="49"/>
      <c r="G29" s="49"/>
    </row>
    <row r="30" spans="2:7" ht="12.75">
      <c r="B30" s="49"/>
      <c r="C30" s="49"/>
      <c r="D30" s="49"/>
      <c r="E30" s="49"/>
      <c r="F30" s="49"/>
      <c r="G30" s="49"/>
    </row>
    <row r="31" spans="2:7" ht="12.75">
      <c r="B31" s="49"/>
      <c r="C31" s="49"/>
      <c r="D31" s="49"/>
      <c r="E31" s="49"/>
      <c r="F31" s="49"/>
      <c r="G31" s="49"/>
    </row>
    <row r="32" spans="2:7" ht="12.75">
      <c r="B32" s="49"/>
      <c r="C32" s="49"/>
      <c r="D32" s="49"/>
      <c r="E32" s="49"/>
      <c r="F32" s="49"/>
      <c r="G32" s="49"/>
    </row>
    <row r="33" spans="2:7" ht="12.75">
      <c r="B33" s="49"/>
      <c r="C33" s="49"/>
      <c r="D33" s="49"/>
      <c r="E33" s="49"/>
      <c r="F33" s="49"/>
      <c r="G33" s="49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5.75">
      <c r="A37" s="235" t="s">
        <v>159</v>
      </c>
      <c r="B37" s="236"/>
      <c r="C37" s="236"/>
      <c r="D37" s="236"/>
      <c r="E37" s="236"/>
      <c r="F37" s="236"/>
      <c r="G37" s="237"/>
    </row>
    <row r="38" spans="1:7" ht="12.75">
      <c r="A38" s="48" t="s">
        <v>13</v>
      </c>
      <c r="B38" s="48" t="s">
        <v>100</v>
      </c>
      <c r="C38" s="48" t="s">
        <v>84</v>
      </c>
      <c r="D38" s="51" t="s">
        <v>101</v>
      </c>
      <c r="E38" s="51" t="s">
        <v>11</v>
      </c>
      <c r="F38" s="51" t="s">
        <v>102</v>
      </c>
      <c r="G38" s="85" t="s">
        <v>115</v>
      </c>
    </row>
    <row r="39" spans="1:7" ht="12.75">
      <c r="A39" s="52" t="s">
        <v>83</v>
      </c>
      <c r="B39" s="53">
        <f>(F116*Nutrient!H109)*2.723</f>
        <v>59.75857950300001</v>
      </c>
      <c r="C39" s="53">
        <f>(G116*Nutrient!H87)*2.72</f>
        <v>48.155489280000005</v>
      </c>
      <c r="D39" s="53">
        <f>(H116*Nutrient!D126)*2.723</f>
        <v>50.552075658000014</v>
      </c>
      <c r="E39" s="53">
        <f>(I116*Nutrient!H68)*2.723</f>
        <v>65.46607191599999</v>
      </c>
      <c r="F39" s="53">
        <f aca="true" t="shared" si="2" ref="F39:F50">(B39+C39)-E39</f>
        <v>42.447996867000015</v>
      </c>
      <c r="G39" s="53">
        <f>SUM(B39:C39)</f>
        <v>107.914068783</v>
      </c>
    </row>
    <row r="40" spans="1:7" ht="12.75">
      <c r="A40" s="52" t="s">
        <v>0</v>
      </c>
      <c r="B40" s="53">
        <f>(F117*Nutrient!H110)*2.723</f>
        <v>69.24586821599999</v>
      </c>
      <c r="C40" s="53">
        <f>(G117*Nutrient!H88)*2.72</f>
        <v>148.15579968000003</v>
      </c>
      <c r="D40" s="53">
        <f>(H117*Nutrient!D127)*2.723</f>
        <v>57.150520056</v>
      </c>
      <c r="E40" s="53">
        <f>(I117*Nutrient!H69)*2.723</f>
        <v>69.850635624</v>
      </c>
      <c r="F40" s="53">
        <f t="shared" si="2"/>
        <v>147.55103227200001</v>
      </c>
      <c r="G40" s="53">
        <f aca="true" t="shared" si="3" ref="G40:G50">SUM(B40:C40)</f>
        <v>217.40166789600002</v>
      </c>
    </row>
    <row r="41" spans="1:7" ht="12.75">
      <c r="A41" s="52" t="s">
        <v>1</v>
      </c>
      <c r="B41" s="53">
        <f>(F118*Nutrient!H111)*2.723</f>
        <v>54.234677196</v>
      </c>
      <c r="C41" s="53">
        <f>(G118*Nutrient!H89)*2.72</f>
        <v>175.566888</v>
      </c>
      <c r="D41" s="53">
        <f>(H118*Nutrient!D128)*2.723</f>
        <v>334.11239408399996</v>
      </c>
      <c r="E41" s="53">
        <f>(I118*Nutrient!H70)*2.723</f>
        <v>77.33463229800002</v>
      </c>
      <c r="F41" s="53">
        <f t="shared" si="2"/>
        <v>152.46693289799998</v>
      </c>
      <c r="G41" s="53">
        <f t="shared" si="3"/>
        <v>229.801565196</v>
      </c>
    </row>
    <row r="42" spans="1:7" ht="12.75">
      <c r="A42" s="52" t="s">
        <v>2</v>
      </c>
      <c r="B42" s="53">
        <f>(F119*Nutrient!H112)*2.723</f>
        <v>26.24258574</v>
      </c>
      <c r="C42" s="53">
        <f>(G119*Nutrient!H90)*2.72</f>
        <v>730.0993536000001</v>
      </c>
      <c r="D42" s="53">
        <f>(H119*Nutrient!D129)*2.723</f>
        <v>94.4949075</v>
      </c>
      <c r="E42" s="53">
        <f>(I119*Nutrient!H71)*2.723</f>
        <v>64.47252546</v>
      </c>
      <c r="F42" s="53">
        <f t="shared" si="2"/>
        <v>691.86941388</v>
      </c>
      <c r="G42" s="53">
        <f t="shared" si="3"/>
        <v>756.3419393400001</v>
      </c>
    </row>
    <row r="43" spans="1:7" ht="12.75">
      <c r="A43" s="52" t="s">
        <v>3</v>
      </c>
      <c r="B43" s="53">
        <f>(F120*Nutrient!H113)*2.723</f>
        <v>217.27349074200004</v>
      </c>
      <c r="C43" s="53">
        <f>(G120*Nutrient!H91)*2.72</f>
        <v>2145.59457792</v>
      </c>
      <c r="D43" s="53">
        <f>(H120*Nutrient!D130)*2.723</f>
        <v>404.80718421500006</v>
      </c>
      <c r="E43" s="53">
        <f>(I120*Nutrient!H72)*2.723</f>
        <v>478.7381999400001</v>
      </c>
      <c r="F43" s="53">
        <f t="shared" si="2"/>
        <v>1884.129868722</v>
      </c>
      <c r="G43" s="53">
        <f t="shared" si="3"/>
        <v>2362.868068662</v>
      </c>
    </row>
    <row r="44" spans="1:7" ht="12.75">
      <c r="A44" s="52" t="s">
        <v>4</v>
      </c>
      <c r="B44" s="53">
        <f>(F121*Nutrient!H114)*2.723</f>
        <v>479.4941592</v>
      </c>
      <c r="C44" s="53">
        <f>(G121*Nutrient!H92)*2.72</f>
        <v>327.5091072000001</v>
      </c>
      <c r="D44" s="53">
        <f>(H121*Nutrient!D131)*2.723</f>
        <v>561.4617418199999</v>
      </c>
      <c r="E44" s="53">
        <f>(I121*Nutrient!H73)*2.723</f>
        <v>806.7165246</v>
      </c>
      <c r="F44" s="53">
        <f t="shared" si="2"/>
        <v>0.28674180000007254</v>
      </c>
      <c r="G44" s="53">
        <f t="shared" si="3"/>
        <v>807.0032664</v>
      </c>
    </row>
    <row r="45" spans="1:7" ht="12.75">
      <c r="A45" s="52" t="s">
        <v>5</v>
      </c>
      <c r="B45" s="53">
        <f>(F122*Nutrient!H115)*2.723</f>
        <v>1192.660725375</v>
      </c>
      <c r="C45" s="53">
        <f>(G122*Nutrient!H93)*2.72</f>
        <v>27.990378144000005</v>
      </c>
      <c r="D45" s="53">
        <f>(H122*Nutrient!D132)*2.723</f>
        <v>1920.7110494376</v>
      </c>
      <c r="E45" s="53">
        <f>(I122*Nutrient!H74)*2.723</f>
        <v>711.4116607499999</v>
      </c>
      <c r="F45" s="53">
        <f t="shared" si="2"/>
        <v>509.2394427690002</v>
      </c>
      <c r="G45" s="53">
        <f t="shared" si="3"/>
        <v>1220.6511035190001</v>
      </c>
    </row>
    <row r="46" spans="1:7" ht="12.75">
      <c r="A46" s="52" t="s">
        <v>6</v>
      </c>
      <c r="B46" s="53">
        <f>(F123*Nutrient!H116)*2.723</f>
        <v>116.50412138399999</v>
      </c>
      <c r="C46" s="53">
        <f>(G123*Nutrient!H94)*2.72</f>
        <v>0</v>
      </c>
      <c r="D46" s="53">
        <f>(H123*Nutrient!D133)*2.723</f>
        <v>262.2095990545499</v>
      </c>
      <c r="E46" s="53">
        <f>(I123*Nutrient!H75)*2.723</f>
        <v>310.34287506600003</v>
      </c>
      <c r="F46" s="53">
        <f t="shared" si="2"/>
        <v>-193.83875368200006</v>
      </c>
      <c r="G46" s="53">
        <f t="shared" si="3"/>
        <v>116.50412138399999</v>
      </c>
    </row>
    <row r="47" spans="1:7" ht="12.75">
      <c r="A47" s="52" t="s">
        <v>7</v>
      </c>
      <c r="B47" s="53">
        <f>(F124*Nutrient!H117)*2.723</f>
        <v>85.8553731</v>
      </c>
      <c r="C47" s="53">
        <f>(G124*Nutrient!H95)*2.72</f>
        <v>0</v>
      </c>
      <c r="D47" s="53">
        <f>(H124*Nutrient!D134)*2.723</f>
        <v>228.94766159999998</v>
      </c>
      <c r="E47" s="53">
        <f>(I124*Nutrient!H76)*2.723</f>
        <v>84.64043857499999</v>
      </c>
      <c r="F47" s="53">
        <f t="shared" si="2"/>
        <v>1.2149345250000039</v>
      </c>
      <c r="G47" s="53">
        <f t="shared" si="3"/>
        <v>85.8553731</v>
      </c>
    </row>
    <row r="48" spans="1:7" ht="12.75">
      <c r="A48" s="52" t="s">
        <v>8</v>
      </c>
      <c r="B48" s="53">
        <f>(F125*Nutrient!H118)*2.723</f>
        <v>62.604226145999995</v>
      </c>
      <c r="C48" s="53">
        <f>(G125*Nutrient!H96)*2.72</f>
        <v>0</v>
      </c>
      <c r="D48" s="53">
        <f>(H125*Nutrient!D135)*2.723</f>
        <v>200.31678456929995</v>
      </c>
      <c r="E48" s="53">
        <f>(I125*Nutrient!H77)*2.723</f>
        <v>0.6695639160000001</v>
      </c>
      <c r="F48" s="53">
        <f t="shared" si="2"/>
        <v>61.934662229999994</v>
      </c>
      <c r="G48" s="53">
        <f t="shared" si="3"/>
        <v>62.604226145999995</v>
      </c>
    </row>
    <row r="49" spans="1:7" ht="12.75">
      <c r="A49" s="52" t="s">
        <v>9</v>
      </c>
      <c r="B49" s="53">
        <f>(F126*Nutrient!H119)*2.723</f>
        <v>66.09243816</v>
      </c>
      <c r="C49" s="53">
        <f>(G126*Nutrient!H97)*2.72</f>
        <v>41.42407680000001</v>
      </c>
      <c r="D49" s="53">
        <f>(H126*Nutrient!D136)*2.723</f>
        <v>289.4244024</v>
      </c>
      <c r="E49" s="53">
        <f>(I126*Nutrient!H78)*2.723</f>
        <v>2.0248908749999996</v>
      </c>
      <c r="F49" s="53">
        <f t="shared" si="2"/>
        <v>105.49162408500001</v>
      </c>
      <c r="G49" s="53">
        <f t="shared" si="3"/>
        <v>107.51651496000001</v>
      </c>
    </row>
    <row r="50" spans="1:7" ht="12.75">
      <c r="A50" s="52" t="s">
        <v>10</v>
      </c>
      <c r="B50" s="53">
        <f>(F127*Nutrient!H120)*2.723</f>
        <v>80.180278941</v>
      </c>
      <c r="C50" s="53">
        <f>(G127*Nutrient!H98)*2.72</f>
        <v>17.556688800000003</v>
      </c>
      <c r="D50" s="53">
        <f>(H127*Nutrient!D137)*2.723</f>
        <v>0</v>
      </c>
      <c r="E50" s="53">
        <f>(I127*Nutrient!H79)*2.723</f>
        <v>0.21760827270000002</v>
      </c>
      <c r="F50" s="53">
        <f t="shared" si="2"/>
        <v>97.5193594683</v>
      </c>
      <c r="G50" s="53">
        <f t="shared" si="3"/>
        <v>97.736967741</v>
      </c>
    </row>
    <row r="51" spans="1:7" ht="12.75">
      <c r="A51" s="51" t="s">
        <v>34</v>
      </c>
      <c r="B51" s="55">
        <f>SUM(B39:B50)</f>
        <v>2510.146523703</v>
      </c>
      <c r="C51" s="55">
        <f>SUM(C39:C50)</f>
        <v>3662.052359424</v>
      </c>
      <c r="D51" s="55">
        <f>SUM(D39:D50)</f>
        <v>4404.18832039445</v>
      </c>
      <c r="E51" s="55">
        <f>SUM(E39:E50)</f>
        <v>2671.8856272927</v>
      </c>
      <c r="F51" s="55">
        <f>SUM(F39:F50)</f>
        <v>3500.3132558343</v>
      </c>
      <c r="G51" s="55">
        <f>SUM(B51:C51)</f>
        <v>6172.198883127</v>
      </c>
    </row>
    <row r="52" spans="2:7" ht="12.75">
      <c r="B52" s="49"/>
      <c r="C52" s="49"/>
      <c r="D52" s="49"/>
      <c r="E52" s="49"/>
      <c r="F52" s="49"/>
      <c r="G52" s="49"/>
    </row>
    <row r="53" spans="2:7" ht="12.75">
      <c r="B53" s="49"/>
      <c r="C53" s="49"/>
      <c r="D53" s="49"/>
      <c r="E53" s="49"/>
      <c r="F53" s="49"/>
      <c r="G53" s="49"/>
    </row>
    <row r="54" spans="2:7" ht="12.75">
      <c r="B54" s="49"/>
      <c r="C54" s="49"/>
      <c r="D54" s="49"/>
      <c r="E54" s="49"/>
      <c r="F54" s="49"/>
      <c r="G54" s="49"/>
    </row>
    <row r="55" spans="2:7" ht="12.75">
      <c r="B55" s="49"/>
      <c r="C55" s="49"/>
      <c r="D55" s="49"/>
      <c r="E55" s="49"/>
      <c r="F55" s="49"/>
      <c r="G55" s="49"/>
    </row>
    <row r="56" spans="2:7" ht="12.75">
      <c r="B56" s="49"/>
      <c r="C56" s="49"/>
      <c r="D56" s="49"/>
      <c r="E56" s="49"/>
      <c r="F56" s="49"/>
      <c r="G56" s="49"/>
    </row>
    <row r="57" spans="2:7" ht="12.75">
      <c r="B57" s="49"/>
      <c r="C57" s="49"/>
      <c r="D57" s="49"/>
      <c r="E57" s="49"/>
      <c r="F57" s="49"/>
      <c r="G57" s="49"/>
    </row>
    <row r="58" spans="2:7" ht="12.75">
      <c r="B58" s="49"/>
      <c r="C58" s="49"/>
      <c r="D58" s="49"/>
      <c r="E58" s="49"/>
      <c r="F58" s="49"/>
      <c r="G58" s="49"/>
    </row>
    <row r="59" spans="2:7" ht="12.75">
      <c r="B59" s="49"/>
      <c r="C59" s="49"/>
      <c r="D59" s="49"/>
      <c r="E59" s="49"/>
      <c r="F59" s="49"/>
      <c r="G59" s="49"/>
    </row>
    <row r="60" spans="2:7" ht="12" customHeight="1">
      <c r="B60" s="49"/>
      <c r="C60" s="49"/>
      <c r="D60" s="49"/>
      <c r="E60" s="49"/>
      <c r="F60" s="49"/>
      <c r="G60" s="49"/>
    </row>
    <row r="61" spans="2:7" ht="12.75">
      <c r="B61" s="49"/>
      <c r="C61" s="49"/>
      <c r="D61" s="49"/>
      <c r="E61" s="49"/>
      <c r="F61" s="49"/>
      <c r="G61" s="49"/>
    </row>
    <row r="62" spans="2:7" ht="12.75">
      <c r="B62" s="49"/>
      <c r="C62" s="49"/>
      <c r="D62" s="49"/>
      <c r="E62" s="49"/>
      <c r="F62" s="49"/>
      <c r="G62" s="49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  <row r="68" spans="2:7" ht="12.75">
      <c r="B68" s="49"/>
      <c r="C68" s="49"/>
      <c r="D68" s="49"/>
      <c r="E68" s="49"/>
      <c r="F68" s="49"/>
      <c r="G68" s="49"/>
    </row>
    <row r="69" spans="2:7" ht="12.75">
      <c r="B69" s="49"/>
      <c r="C69" s="49"/>
      <c r="D69" s="49"/>
      <c r="E69" s="49"/>
      <c r="F69" s="49"/>
      <c r="G69" s="49"/>
    </row>
    <row r="70" spans="2:7" ht="12" customHeight="1">
      <c r="B70" s="49"/>
      <c r="C70" s="49"/>
      <c r="D70" s="49"/>
      <c r="E70" s="49"/>
      <c r="F70" s="49"/>
      <c r="G70" s="49"/>
    </row>
    <row r="71" spans="2:7" ht="12" customHeight="1">
      <c r="B71" s="49"/>
      <c r="C71" s="49"/>
      <c r="D71" s="49"/>
      <c r="E71" s="49"/>
      <c r="F71" s="49"/>
      <c r="G71" s="49"/>
    </row>
    <row r="72" spans="2:7" ht="12.75">
      <c r="B72" s="49"/>
      <c r="C72" s="49"/>
      <c r="D72" s="49"/>
      <c r="E72" s="49"/>
      <c r="F72" s="49"/>
      <c r="G72" s="49"/>
    </row>
    <row r="73" spans="2:7" ht="12.75">
      <c r="B73" s="49"/>
      <c r="C73" s="49"/>
      <c r="D73" s="49"/>
      <c r="E73" s="49"/>
      <c r="F73" s="49"/>
      <c r="G73" s="49"/>
    </row>
    <row r="74" spans="1:7" ht="12.75">
      <c r="A74" s="160" t="s">
        <v>116</v>
      </c>
      <c r="B74" s="160" t="s">
        <v>100</v>
      </c>
      <c r="C74" s="160" t="s">
        <v>84</v>
      </c>
      <c r="D74" s="160" t="s">
        <v>101</v>
      </c>
      <c r="E74" s="160" t="s">
        <v>11</v>
      </c>
      <c r="F74" s="160" t="s">
        <v>102</v>
      </c>
      <c r="G74" s="162" t="s">
        <v>142</v>
      </c>
    </row>
    <row r="75" spans="1:7" ht="12.75">
      <c r="A75" s="160"/>
      <c r="B75" s="163" t="s">
        <v>143</v>
      </c>
      <c r="C75" s="163" t="s">
        <v>143</v>
      </c>
      <c r="D75" s="163" t="s">
        <v>143</v>
      </c>
      <c r="E75" s="163" t="s">
        <v>143</v>
      </c>
      <c r="F75" s="163" t="s">
        <v>143</v>
      </c>
      <c r="G75" s="162" t="s">
        <v>115</v>
      </c>
    </row>
    <row r="76" spans="1:7" ht="12.75">
      <c r="A76" s="160" t="s">
        <v>83</v>
      </c>
      <c r="B76" s="28">
        <f>(F116*Nutrient!I109)*2.72</f>
        <v>14923.185480000004</v>
      </c>
      <c r="C76" s="28">
        <f>(G116*Nutrient!I87)*2.72</f>
        <v>41734.757376</v>
      </c>
      <c r="D76" s="28">
        <f>(H116*Nutrient!E126)*2.723</f>
        <v>27803.641611900006</v>
      </c>
      <c r="E76" s="28">
        <f>(I116*Nutrient!I68)*2.723</f>
        <v>65466.07191599999</v>
      </c>
      <c r="F76" s="28">
        <f aca="true" t="shared" si="4" ref="F76:F87">(B76+C76)-E76</f>
        <v>-8808.129059999985</v>
      </c>
      <c r="G76" s="212">
        <f>SUM(B76:C76)</f>
        <v>56657.94285600001</v>
      </c>
    </row>
    <row r="77" spans="1:7" ht="12.75">
      <c r="A77" s="160" t="s">
        <v>0</v>
      </c>
      <c r="B77" s="28">
        <f>(F117*Nutrient!I110)*2.72</f>
        <v>17292.39456</v>
      </c>
      <c r="C77" s="28">
        <f>(G117*Nutrient!I88)*2.72</f>
        <v>88893.47980800002</v>
      </c>
      <c r="D77" s="28">
        <f>(H117*Nutrient!E127)*2.723</f>
        <v>21431.445021</v>
      </c>
      <c r="E77" s="28">
        <f>(I117*Nutrient!I69)*2.723</f>
        <v>17462.658906</v>
      </c>
      <c r="F77" s="28">
        <f t="shared" si="4"/>
        <v>88723.21546200002</v>
      </c>
      <c r="G77" s="212">
        <f aca="true" t="shared" si="5" ref="G77:G87">SUM(B77:C77)</f>
        <v>106185.87436800002</v>
      </c>
    </row>
    <row r="78" spans="1:7" ht="12.75">
      <c r="A78" s="160" t="s">
        <v>1</v>
      </c>
      <c r="B78" s="28">
        <f>(F118*Nutrient!I111)*2.72</f>
        <v>13543.731360000002</v>
      </c>
      <c r="C78" s="28">
        <f>(G118*Nutrient!I89)*2.72</f>
        <v>52670.0664</v>
      </c>
      <c r="D78" s="28">
        <f>(H118*Nutrient!E128)*2.723</f>
        <v>121115.74285544998</v>
      </c>
      <c r="E78" s="28">
        <f>(I118*Nutrient!I70)*2.723</f>
        <v>19333.658074500003</v>
      </c>
      <c r="F78" s="28">
        <f t="shared" si="4"/>
        <v>46880.1396855</v>
      </c>
      <c r="G78" s="212">
        <f t="shared" si="5"/>
        <v>66213.79776</v>
      </c>
    </row>
    <row r="79" spans="1:7" ht="12.75">
      <c r="A79" s="160" t="s">
        <v>2</v>
      </c>
      <c r="B79" s="28">
        <f>(F119*Nutrient!I112)*2.72</f>
        <v>31456.408320000002</v>
      </c>
      <c r="C79" s="28">
        <f>(G119*Nutrient!I90)*2.72</f>
        <v>511069.5475200001</v>
      </c>
      <c r="D79" s="28">
        <f>(H119*Nutrient!E129)*2.723</f>
        <v>28348.47225</v>
      </c>
      <c r="E79" s="28">
        <f>(I119*Nutrient!I71)*2.723</f>
        <v>16118.131365000001</v>
      </c>
      <c r="F79" s="28">
        <f t="shared" si="4"/>
        <v>526407.824475</v>
      </c>
      <c r="G79" s="212">
        <f t="shared" si="5"/>
        <v>542525.9558400001</v>
      </c>
    </row>
    <row r="80" spans="1:7" ht="12.75">
      <c r="A80" s="160" t="s">
        <v>3</v>
      </c>
      <c r="B80" s="28">
        <f>(F120*Nutrient!I113)*2.72</f>
        <v>27129.264360000005</v>
      </c>
      <c r="C80" s="28">
        <f>(G120*Nutrient!I91)*2.72</f>
        <v>804597.96672</v>
      </c>
      <c r="D80" s="28">
        <f>(H120*Nutrient!E130)*2.723</f>
        <v>89057.5805273</v>
      </c>
      <c r="E80" s="28">
        <f>(I120*Nutrient!I72)*2.723</f>
        <v>59842.27499250001</v>
      </c>
      <c r="F80" s="28">
        <f t="shared" si="4"/>
        <v>771884.9560875001</v>
      </c>
      <c r="G80" s="212">
        <f t="shared" si="5"/>
        <v>831727.23108</v>
      </c>
    </row>
    <row r="81" spans="1:7" ht="12.75">
      <c r="A81" s="160" t="s">
        <v>4</v>
      </c>
      <c r="B81" s="28">
        <f>(F121*Nutrient!I114)*2.72</f>
        <v>59870.73600000001</v>
      </c>
      <c r="C81" s="28">
        <f>(G121*Nutrient!I92)*2.72</f>
        <v>98252.73216000003</v>
      </c>
      <c r="D81" s="28">
        <f>(H121*Nutrient!E131)*2.723</f>
        <v>119310.62013674999</v>
      </c>
      <c r="E81" s="28">
        <f>(I121*Nutrient!I73)*2.723</f>
        <v>282350.78361</v>
      </c>
      <c r="F81" s="28">
        <f t="shared" si="4"/>
        <v>-124227.31544999994</v>
      </c>
      <c r="G81" s="212">
        <f t="shared" si="5"/>
        <v>158123.46816000005</v>
      </c>
    </row>
    <row r="82" spans="1:7" ht="12.75">
      <c r="A82" s="160" t="s">
        <v>5</v>
      </c>
      <c r="B82" s="28">
        <f>(F122*Nutrient!I115)*2.72</f>
        <v>381230.95680000004</v>
      </c>
      <c r="C82" s="28">
        <f>(G122*Nutrient!I93)*2.72</f>
        <v>11196.151257600002</v>
      </c>
      <c r="D82" s="28">
        <f>(H122*Nutrient!E132)*2.723</f>
        <v>363563.16292925994</v>
      </c>
      <c r="E82" s="28">
        <f>(I122*Nutrient!I74)*2.723</f>
        <v>341477.59716</v>
      </c>
      <c r="F82" s="28">
        <f t="shared" si="4"/>
        <v>50949.510897600034</v>
      </c>
      <c r="G82" s="212">
        <f t="shared" si="5"/>
        <v>392427.10805760004</v>
      </c>
    </row>
    <row r="83" spans="1:7" ht="12.75">
      <c r="A83" s="160" t="s">
        <v>6</v>
      </c>
      <c r="B83" s="28">
        <f>(F123*Nutrient!I116)*2.72</f>
        <v>29093.941439999995</v>
      </c>
      <c r="C83" s="28">
        <f>(G123*Nutrient!I94)*2.72</f>
        <v>0</v>
      </c>
      <c r="D83" s="28">
        <f>(H123*Nutrient!E133)*2.723</f>
        <v>76720.58639003498</v>
      </c>
      <c r="E83" s="28">
        <f>(I123*Nutrient!I75)*2.723</f>
        <v>139654.2937797</v>
      </c>
      <c r="F83" s="28">
        <f t="shared" si="4"/>
        <v>-110560.35233970001</v>
      </c>
      <c r="G83" s="212">
        <f t="shared" si="5"/>
        <v>29093.941439999995</v>
      </c>
    </row>
    <row r="84" spans="1:7" ht="12.75">
      <c r="A84" s="160" t="s">
        <v>7</v>
      </c>
      <c r="B84" s="28">
        <f>(F124*Nutrient!I117)*2.72</f>
        <v>34304.3136</v>
      </c>
      <c r="C84" s="28">
        <f>(G124*Nutrient!I95)*2.72</f>
        <v>0</v>
      </c>
      <c r="D84" s="28">
        <f>(H124*Nutrient!E134)*2.723</f>
        <v>42212.225107499995</v>
      </c>
      <c r="E84" s="28">
        <f>(I124*Nutrient!I76)*2.723</f>
        <v>37241.792972999996</v>
      </c>
      <c r="F84" s="28">
        <f t="shared" si="4"/>
        <v>-2937.4793729999947</v>
      </c>
      <c r="G84" s="212">
        <f t="shared" si="5"/>
        <v>34304.3136</v>
      </c>
    </row>
    <row r="85" spans="1:7" ht="12.75">
      <c r="A85" s="160" t="s">
        <v>8</v>
      </c>
      <c r="B85" s="28">
        <f>(F125*Nutrient!I118)*2.72</f>
        <v>15633.813359999998</v>
      </c>
      <c r="C85" s="28">
        <f>(G125*Nutrient!I96)*2.72</f>
        <v>0</v>
      </c>
      <c r="D85" s="28">
        <f>(H125*Nutrient!E135)*2.723</f>
        <v>33386.13076155</v>
      </c>
      <c r="E85" s="28">
        <f>(I125*Nutrient!I77)*2.723</f>
        <v>83.69548950000001</v>
      </c>
      <c r="F85" s="28">
        <f t="shared" si="4"/>
        <v>15550.117870499998</v>
      </c>
      <c r="G85" s="212">
        <f t="shared" si="5"/>
        <v>15633.813359999998</v>
      </c>
    </row>
    <row r="86" spans="1:7" ht="12.75">
      <c r="A86" s="160" t="s">
        <v>9</v>
      </c>
      <c r="B86" s="28">
        <f>(F126*Nutrient!I119)*2.72</f>
        <v>16504.9056</v>
      </c>
      <c r="C86" s="28">
        <f>(G126*Nutrient!I97)*2.72</f>
        <v>0</v>
      </c>
      <c r="D86" s="28">
        <f>(H126*Nutrient!E136)*2.723</f>
        <v>115769.76096</v>
      </c>
      <c r="E86" s="28">
        <f>(I126*Nutrient!I78)*2.723</f>
        <v>506.22271874999996</v>
      </c>
      <c r="F86" s="28">
        <f t="shared" si="4"/>
        <v>15998.682881249999</v>
      </c>
      <c r="G86" s="212">
        <f t="shared" si="5"/>
        <v>16504.9056</v>
      </c>
    </row>
    <row r="87" spans="1:7" ht="12.75">
      <c r="A87" s="160" t="s">
        <v>10</v>
      </c>
      <c r="B87" s="28">
        <f>(F127*Nutrient!I120)*2.72</f>
        <v>20022.985560000005</v>
      </c>
      <c r="C87" s="28">
        <f>(G127*Nutrient!I98)*2.72</f>
        <v>4389.1722</v>
      </c>
      <c r="D87" s="28">
        <f>(H127*Nutrient!E137)*2.723</f>
        <v>0</v>
      </c>
      <c r="E87" s="28">
        <f>(I127*Nutrient!I79)*2.723</f>
        <v>54.402068175</v>
      </c>
      <c r="F87" s="28">
        <f t="shared" si="4"/>
        <v>24357.755691825005</v>
      </c>
      <c r="G87" s="212">
        <f t="shared" si="5"/>
        <v>24412.157760000006</v>
      </c>
    </row>
    <row r="88" spans="1:7" ht="12.75">
      <c r="A88" s="161" t="s">
        <v>142</v>
      </c>
      <c r="B88" s="158">
        <f>SUM(B76:B87)</f>
        <v>661006.6364400001</v>
      </c>
      <c r="C88" s="158">
        <f>SUM(C76:C87)</f>
        <v>1612803.8734416</v>
      </c>
      <c r="D88" s="158">
        <f>SUM(D76:D87)</f>
        <v>1038719.3685507448</v>
      </c>
      <c r="E88" s="158">
        <f>SUM(E76:E87)</f>
        <v>979591.583053125</v>
      </c>
      <c r="F88" s="158">
        <f>SUM(F76:F87)</f>
        <v>1294218.9268284752</v>
      </c>
      <c r="G88" s="83">
        <f>SUM(B88:C88)</f>
        <v>2273810.5098816003</v>
      </c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3:7" ht="12.75">
      <c r="C96" s="4"/>
      <c r="E96" s="4"/>
      <c r="G96" s="4"/>
    </row>
    <row r="97" spans="2:7" ht="12.75">
      <c r="B97" s="4"/>
      <c r="C97" s="4"/>
      <c r="D97" s="4"/>
      <c r="E97" s="4"/>
      <c r="F97" s="4"/>
      <c r="G97" s="4"/>
    </row>
    <row r="98" spans="3:7" ht="12.75">
      <c r="C98" s="4"/>
      <c r="E98" s="4"/>
      <c r="F98" s="13"/>
      <c r="G98" s="4"/>
    </row>
    <row r="99" spans="2:3" ht="12.75">
      <c r="B99" s="14"/>
      <c r="C99" s="14"/>
    </row>
    <row r="100" spans="1:10" ht="12.75">
      <c r="A100" s="8"/>
      <c r="B100" s="8"/>
      <c r="C100" s="8"/>
      <c r="D100" s="8"/>
      <c r="E100" s="8"/>
      <c r="F100" s="9"/>
      <c r="G100" s="9"/>
      <c r="J100"/>
    </row>
    <row r="101" ht="12.75">
      <c r="J101"/>
    </row>
    <row r="102" ht="12.75">
      <c r="J102"/>
    </row>
    <row r="103" spans="2:10" ht="12.75">
      <c r="B103" s="25"/>
      <c r="C103" s="25"/>
      <c r="D103" s="25"/>
      <c r="J103"/>
    </row>
    <row r="104" spans="2:10" ht="12.75">
      <c r="B104" s="25"/>
      <c r="C104" s="25"/>
      <c r="D104" s="25"/>
      <c r="E104" s="2"/>
      <c r="F104" s="2"/>
      <c r="G104" s="2"/>
      <c r="J104"/>
    </row>
    <row r="105" spans="2:10" ht="12.75">
      <c r="B105" s="25"/>
      <c r="C105" s="25"/>
      <c r="D105" s="25"/>
      <c r="E105" s="2"/>
      <c r="F105" s="2"/>
      <c r="G105" s="2"/>
      <c r="J105"/>
    </row>
    <row r="106" spans="2:10" ht="12.75">
      <c r="B106" s="25"/>
      <c r="C106" s="25"/>
      <c r="D106" s="25"/>
      <c r="E106" s="4"/>
      <c r="F106" s="4"/>
      <c r="G106" s="4"/>
      <c r="J106"/>
    </row>
    <row r="107" spans="2:10" ht="12.75">
      <c r="B107" s="25"/>
      <c r="C107" s="25"/>
      <c r="D107" s="25"/>
      <c r="E107" s="4"/>
      <c r="F107" s="4"/>
      <c r="G107" s="4"/>
      <c r="J107"/>
    </row>
    <row r="108" spans="2:10" ht="12.75">
      <c r="B108" s="25"/>
      <c r="C108" s="25"/>
      <c r="D108" s="25"/>
      <c r="E108" s="4"/>
      <c r="F108" s="4"/>
      <c r="G108" s="4"/>
      <c r="J108"/>
    </row>
    <row r="109" spans="2:10" ht="12.75">
      <c r="B109" s="25"/>
      <c r="C109" s="25"/>
      <c r="D109" s="25"/>
      <c r="E109" s="4"/>
      <c r="F109" s="4"/>
      <c r="G109" s="4"/>
      <c r="J109"/>
    </row>
    <row r="110" spans="2:10" ht="12.75">
      <c r="B110" s="25"/>
      <c r="C110" s="25"/>
      <c r="D110" s="25"/>
      <c r="E110" s="4"/>
      <c r="F110" s="4"/>
      <c r="G110" s="4"/>
      <c r="J110"/>
    </row>
    <row r="111" spans="2:10" ht="12.75">
      <c r="B111" s="25"/>
      <c r="C111" s="25"/>
      <c r="D111" s="25"/>
      <c r="E111" s="238" t="s">
        <v>144</v>
      </c>
      <c r="F111" s="238"/>
      <c r="G111" s="238"/>
      <c r="H111" s="238"/>
      <c r="I111" s="238"/>
      <c r="J111" s="238"/>
    </row>
    <row r="112" spans="2:10" ht="12.75">
      <c r="B112" s="25"/>
      <c r="C112" s="25"/>
      <c r="D112" s="25"/>
      <c r="E112" s="4"/>
      <c r="F112" s="4"/>
      <c r="G112" s="4"/>
      <c r="J112"/>
    </row>
    <row r="113" spans="2:10" ht="12.75" customHeight="1">
      <c r="B113" s="25"/>
      <c r="C113" s="25"/>
      <c r="D113" s="25"/>
      <c r="E113" s="239">
        <v>1999</v>
      </c>
      <c r="F113" s="223" t="s">
        <v>92</v>
      </c>
      <c r="G113" s="223" t="s">
        <v>93</v>
      </c>
      <c r="H113" s="223" t="s">
        <v>94</v>
      </c>
      <c r="I113" s="243" t="s">
        <v>96</v>
      </c>
      <c r="J113" s="245" t="s">
        <v>97</v>
      </c>
    </row>
    <row r="114" spans="2:10" ht="12.75" customHeight="1">
      <c r="B114" s="25"/>
      <c r="C114" s="25"/>
      <c r="D114" s="25"/>
      <c r="E114" s="240"/>
      <c r="F114" s="242"/>
      <c r="G114" s="242"/>
      <c r="H114" s="242"/>
      <c r="I114" s="244"/>
      <c r="J114" s="246"/>
    </row>
    <row r="115" spans="2:10" ht="12.75">
      <c r="B115" s="9"/>
      <c r="C115" s="9"/>
      <c r="D115" s="9"/>
      <c r="E115" s="241"/>
      <c r="F115" s="247" t="s">
        <v>91</v>
      </c>
      <c r="G115" s="248"/>
      <c r="H115" s="248"/>
      <c r="I115" s="248"/>
      <c r="J115" s="249"/>
    </row>
    <row r="116" spans="2:10" ht="12.75">
      <c r="B116" s="25"/>
      <c r="C116" s="25"/>
      <c r="D116" s="25"/>
      <c r="E116" s="29" t="s">
        <v>83</v>
      </c>
      <c r="F116" s="27">
        <v>2194.5861000000004</v>
      </c>
      <c r="G116" s="27">
        <v>590.1408</v>
      </c>
      <c r="H116" s="27">
        <f>F116+G116</f>
        <v>2784.7269000000006</v>
      </c>
      <c r="I116" s="28">
        <v>2404.1892</v>
      </c>
      <c r="J116" s="32">
        <v>958.3839000000007</v>
      </c>
    </row>
    <row r="117" spans="2:10" ht="12.75">
      <c r="B117" s="25"/>
      <c r="C117" s="25"/>
      <c r="D117" s="25"/>
      <c r="E117" s="29" t="s">
        <v>0</v>
      </c>
      <c r="F117" s="27">
        <v>2542.9991999999997</v>
      </c>
      <c r="G117" s="27">
        <v>605.2116000000001</v>
      </c>
      <c r="H117" s="27">
        <f aca="true" t="shared" si="6" ref="H117:H127">F117+G117</f>
        <v>3148.2108</v>
      </c>
      <c r="I117" s="28">
        <v>2565.2088000000003</v>
      </c>
      <c r="J117" s="32">
        <v>516.3731999999995</v>
      </c>
    </row>
    <row r="118" spans="2:10" ht="12.75">
      <c r="B118" s="25"/>
      <c r="C118" s="25"/>
      <c r="D118" s="25"/>
      <c r="E118" s="29" t="s">
        <v>1</v>
      </c>
      <c r="F118" s="27">
        <v>1991.7252</v>
      </c>
      <c r="G118" s="27">
        <v>1075.7775</v>
      </c>
      <c r="H118" s="27">
        <f t="shared" si="6"/>
        <v>3067.5027</v>
      </c>
      <c r="I118" s="28">
        <v>2840.0526000000004</v>
      </c>
      <c r="J118" s="32">
        <v>2163.8496</v>
      </c>
    </row>
    <row r="119" spans="2:10" ht="12.75">
      <c r="B119" s="25"/>
      <c r="C119" s="25"/>
      <c r="D119" s="25"/>
      <c r="E119" s="29" t="s">
        <v>2</v>
      </c>
      <c r="F119" s="27">
        <v>1927.476</v>
      </c>
      <c r="G119" s="27">
        <v>2236.824</v>
      </c>
      <c r="H119" s="27">
        <f t="shared" si="6"/>
        <v>4164.3</v>
      </c>
      <c r="I119" s="28">
        <v>2367.702</v>
      </c>
      <c r="J119" s="32">
        <v>1344.4740000000002</v>
      </c>
    </row>
    <row r="120" spans="2:10" ht="12.75">
      <c r="B120" s="25"/>
      <c r="C120" s="25"/>
      <c r="D120" s="25"/>
      <c r="E120" s="29" t="s">
        <v>3</v>
      </c>
      <c r="F120" s="27">
        <v>3989.5977000000007</v>
      </c>
      <c r="G120" s="27">
        <v>4930.1346</v>
      </c>
      <c r="H120" s="27">
        <f t="shared" si="6"/>
        <v>8919.732300000001</v>
      </c>
      <c r="I120" s="28">
        <v>8790.639000000001</v>
      </c>
      <c r="J120" s="32">
        <v>3743.7056999999986</v>
      </c>
    </row>
    <row r="121" spans="2:10" ht="12.75">
      <c r="B121" s="25"/>
      <c r="C121" s="25"/>
      <c r="D121" s="25"/>
      <c r="E121" s="29" t="s">
        <v>4</v>
      </c>
      <c r="F121" s="27">
        <v>8804.52</v>
      </c>
      <c r="G121" s="27">
        <v>1505.0970000000002</v>
      </c>
      <c r="H121" s="27">
        <f t="shared" si="6"/>
        <v>10309.617</v>
      </c>
      <c r="I121" s="28">
        <v>14813.01</v>
      </c>
      <c r="J121" s="32">
        <v>-4402.26</v>
      </c>
    </row>
    <row r="122" spans="2:10" ht="12.75">
      <c r="B122" s="25"/>
      <c r="C122" s="25"/>
      <c r="D122" s="25"/>
      <c r="E122" s="29" t="s">
        <v>5</v>
      </c>
      <c r="F122" s="27">
        <v>17519.805</v>
      </c>
      <c r="G122" s="27">
        <v>114.33978000000002</v>
      </c>
      <c r="H122" s="27">
        <f t="shared" si="6"/>
        <v>17634.14478</v>
      </c>
      <c r="I122" s="28">
        <v>10450.41</v>
      </c>
      <c r="J122" s="32">
        <v>10284.4329</v>
      </c>
    </row>
    <row r="123" spans="2:10" ht="12.75">
      <c r="B123" s="25"/>
      <c r="C123" s="25"/>
      <c r="D123" s="25"/>
      <c r="E123" s="29" t="s">
        <v>6</v>
      </c>
      <c r="F123" s="27">
        <v>4278.520799999999</v>
      </c>
      <c r="G123" s="27">
        <v>1.22946</v>
      </c>
      <c r="H123" s="27">
        <f t="shared" si="6"/>
        <v>4279.750259999999</v>
      </c>
      <c r="I123" s="28">
        <v>5698.547100000001</v>
      </c>
      <c r="J123" s="32">
        <v>-1420.0263000000014</v>
      </c>
    </row>
    <row r="124" spans="2:10" ht="12.75">
      <c r="B124" s="25"/>
      <c r="C124" s="25"/>
      <c r="D124" s="25"/>
      <c r="E124" s="29" t="s">
        <v>7</v>
      </c>
      <c r="F124" s="27">
        <v>3152.97</v>
      </c>
      <c r="G124" s="27">
        <v>0</v>
      </c>
      <c r="H124" s="27">
        <f t="shared" si="6"/>
        <v>3152.97</v>
      </c>
      <c r="I124" s="28">
        <v>1243.341</v>
      </c>
      <c r="J124" s="32">
        <v>1909.6290000000004</v>
      </c>
    </row>
    <row r="125" spans="2:10" ht="12.75">
      <c r="B125" s="25"/>
      <c r="C125" s="25"/>
      <c r="D125" s="25"/>
      <c r="E125" s="29" t="s">
        <v>8</v>
      </c>
      <c r="F125" s="27">
        <v>2299.0901999999996</v>
      </c>
      <c r="G125" s="27">
        <v>153.06777000000002</v>
      </c>
      <c r="H125" s="27">
        <f t="shared" si="6"/>
        <v>2452.1579699999998</v>
      </c>
      <c r="I125" s="28">
        <v>12.294600000000003</v>
      </c>
      <c r="J125" s="32">
        <v>2286.7955999999995</v>
      </c>
    </row>
    <row r="126" spans="2:10" ht="12.75">
      <c r="B126" s="25"/>
      <c r="C126" s="25"/>
      <c r="D126" s="25"/>
      <c r="E126" s="29" t="s">
        <v>9</v>
      </c>
      <c r="F126" s="27">
        <v>2427.192</v>
      </c>
      <c r="G126" s="27">
        <v>761.4720000000001</v>
      </c>
      <c r="H126" s="27">
        <f t="shared" si="6"/>
        <v>3188.664</v>
      </c>
      <c r="I126" s="28">
        <v>74.3625</v>
      </c>
      <c r="J126" s="32">
        <v>2787.1065</v>
      </c>
    </row>
    <row r="127" spans="2:10" ht="12.75">
      <c r="B127" s="25"/>
      <c r="C127" s="25"/>
      <c r="D127" s="25"/>
      <c r="E127" s="29" t="s">
        <v>10</v>
      </c>
      <c r="F127" s="27">
        <v>2944.5567</v>
      </c>
      <c r="G127" s="27">
        <v>645.4665</v>
      </c>
      <c r="H127" s="27">
        <f t="shared" si="6"/>
        <v>3590.0232</v>
      </c>
      <c r="I127" s="28">
        <v>7.991490000000001</v>
      </c>
      <c r="J127" s="32">
        <v>3981.6062100000004</v>
      </c>
    </row>
    <row r="128" spans="2:10" ht="12.75">
      <c r="B128" s="26"/>
      <c r="C128" s="26"/>
      <c r="D128" s="26"/>
      <c r="E128" s="31" t="s">
        <v>95</v>
      </c>
      <c r="F128" s="28">
        <f>SUM(F116:F127)</f>
        <v>54073.0389</v>
      </c>
      <c r="G128" s="28">
        <f>SUM(G116:G127)</f>
        <v>12618.761010000002</v>
      </c>
      <c r="H128" s="28">
        <f>SUM(H116:H127)</f>
        <v>66691.79991</v>
      </c>
      <c r="I128" s="28">
        <f>SUM(I116:I127)</f>
        <v>51267.74829000002</v>
      </c>
      <c r="J128" s="32">
        <f>H128-I128</f>
        <v>15424.051619999984</v>
      </c>
    </row>
    <row r="129" spans="2:10" ht="12.75">
      <c r="B129" s="4"/>
      <c r="C129" s="4"/>
      <c r="D129" s="4"/>
      <c r="E129" s="30" t="s">
        <v>98</v>
      </c>
      <c r="F129" s="33">
        <f>F128/H128</f>
        <v>0.8107899167959343</v>
      </c>
      <c r="G129" s="33">
        <f>G128/H128</f>
        <v>0.1892100832040657</v>
      </c>
      <c r="H129" s="4"/>
      <c r="I129" s="4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37:G37"/>
    <mergeCell ref="A1:G1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56">
      <selection activeCell="B75" sqref="B75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21</v>
      </c>
      <c r="C1">
        <v>21</v>
      </c>
    </row>
    <row r="2" spans="1:11" ht="12.75">
      <c r="A2" t="s">
        <v>19</v>
      </c>
      <c r="B2" s="1" t="s">
        <v>21</v>
      </c>
      <c r="C2">
        <v>8</v>
      </c>
      <c r="K2" s="5"/>
    </row>
    <row r="3" spans="1:13" ht="12.75">
      <c r="A3" t="s">
        <v>20</v>
      </c>
      <c r="B3" s="1" t="s">
        <v>22</v>
      </c>
      <c r="C3">
        <v>2.4</v>
      </c>
      <c r="K3" s="250"/>
      <c r="L3" s="250"/>
      <c r="M3" s="250"/>
    </row>
    <row r="5" ht="12.75">
      <c r="A5" t="s">
        <v>24</v>
      </c>
    </row>
    <row r="6" spans="1:2" ht="12.75">
      <c r="A6" t="s">
        <v>25</v>
      </c>
      <c r="B6">
        <f>+LN(C3)</f>
        <v>0.8754687373538999</v>
      </c>
    </row>
    <row r="7" spans="2:3" ht="12.75">
      <c r="B7">
        <f>20+(14.42*B6)</f>
        <v>32.62425919264324</v>
      </c>
      <c r="C7" t="s">
        <v>28</v>
      </c>
    </row>
    <row r="8" spans="1:2" ht="12.75">
      <c r="A8" t="s">
        <v>26</v>
      </c>
      <c r="B8">
        <f>+LN(C2)</f>
        <v>2.0794415416798357</v>
      </c>
    </row>
    <row r="9" spans="2:3" ht="12.75">
      <c r="B9">
        <f>+(9.81*B8)+30.6</f>
        <v>50.99932152387919</v>
      </c>
      <c r="C9" t="s">
        <v>28</v>
      </c>
    </row>
    <row r="10" spans="1:2" ht="12.75">
      <c r="A10" t="s">
        <v>27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28</v>
      </c>
    </row>
    <row r="13" ht="12.75">
      <c r="A13" t="s">
        <v>29</v>
      </c>
    </row>
    <row r="14" spans="1:2" ht="12.75">
      <c r="A14" t="s">
        <v>30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28</v>
      </c>
    </row>
    <row r="16" spans="1:2" ht="12.75">
      <c r="A16" t="s">
        <v>31</v>
      </c>
      <c r="B16">
        <f>+LN(C1)</f>
        <v>3.044522437723423</v>
      </c>
    </row>
    <row r="17" spans="2:3" ht="12.75">
      <c r="B17">
        <f>20.02*B16</f>
        <v>60.95133920322293</v>
      </c>
      <c r="C17" t="s">
        <v>33</v>
      </c>
    </row>
    <row r="18" spans="1:2" ht="12.75">
      <c r="A18" t="s">
        <v>32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33</v>
      </c>
    </row>
    <row r="22" spans="1:7" ht="12.75">
      <c r="A22" t="s">
        <v>136</v>
      </c>
      <c r="B22" t="s">
        <v>103</v>
      </c>
      <c r="C22" s="251" t="s">
        <v>108</v>
      </c>
      <c r="D22" s="251"/>
      <c r="E22" s="251"/>
      <c r="F22" s="251"/>
      <c r="G22" t="s">
        <v>113</v>
      </c>
    </row>
    <row r="23" spans="2:7" ht="12.75">
      <c r="B23" t="s">
        <v>104</v>
      </c>
      <c r="C23" t="s">
        <v>105</v>
      </c>
      <c r="D23" t="s">
        <v>106</v>
      </c>
      <c r="E23" t="s">
        <v>107</v>
      </c>
      <c r="G23" s="50">
        <v>18880</v>
      </c>
    </row>
    <row r="24" spans="2:7" ht="12.75">
      <c r="B24">
        <v>25000</v>
      </c>
      <c r="C24">
        <v>5650</v>
      </c>
      <c r="D24" s="50"/>
      <c r="E24">
        <v>1815</v>
      </c>
      <c r="G24" s="50"/>
    </row>
    <row r="25" spans="2:7" ht="12.75">
      <c r="B25">
        <v>50000</v>
      </c>
      <c r="C25" s="50">
        <v>11300</v>
      </c>
      <c r="D25" s="50">
        <f aca="true" t="shared" si="0" ref="D25:D32">C25+G$23</f>
        <v>30180</v>
      </c>
      <c r="E25">
        <f aca="true" t="shared" si="1" ref="E25:E32">C25-G$29</f>
        <v>3630</v>
      </c>
      <c r="G25" s="50"/>
    </row>
    <row r="26" spans="2:7" ht="12.75">
      <c r="B26">
        <v>100000</v>
      </c>
      <c r="C26">
        <v>22600</v>
      </c>
      <c r="D26" s="50">
        <f t="shared" si="0"/>
        <v>41480</v>
      </c>
      <c r="E26">
        <f t="shared" si="1"/>
        <v>14930</v>
      </c>
      <c r="G26" s="50"/>
    </row>
    <row r="27" spans="2:5" ht="12.75">
      <c r="B27">
        <v>200000</v>
      </c>
      <c r="C27">
        <v>45210</v>
      </c>
      <c r="D27" s="50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50">
        <f t="shared" si="0"/>
        <v>77880</v>
      </c>
      <c r="E28">
        <f t="shared" si="1"/>
        <v>51330</v>
      </c>
      <c r="G28" t="s">
        <v>114</v>
      </c>
    </row>
    <row r="29" spans="2:7" ht="12.75">
      <c r="B29">
        <v>275000</v>
      </c>
      <c r="C29">
        <v>62160</v>
      </c>
      <c r="D29" s="50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50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50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50">
        <f t="shared" si="0"/>
        <v>109305</v>
      </c>
      <c r="E32">
        <f t="shared" si="1"/>
        <v>82755</v>
      </c>
    </row>
    <row r="55" spans="1:3" ht="12.75">
      <c r="A55" s="10" t="s">
        <v>135</v>
      </c>
      <c r="B55" s="84" t="s">
        <v>131</v>
      </c>
      <c r="C55" s="84" t="s">
        <v>132</v>
      </c>
    </row>
    <row r="56" spans="1:3" ht="12.75">
      <c r="A56" s="10"/>
      <c r="B56" s="84" t="s">
        <v>133</v>
      </c>
      <c r="C56" s="84"/>
    </row>
    <row r="57" spans="1:3" ht="12.75">
      <c r="A57" s="10"/>
      <c r="B57" s="84" t="s">
        <v>134</v>
      </c>
      <c r="C57" s="84"/>
    </row>
    <row r="58" spans="1:3" ht="12.75">
      <c r="A58" s="220">
        <v>1986</v>
      </c>
      <c r="B58" s="157">
        <v>272000</v>
      </c>
      <c r="C58" s="157"/>
    </row>
    <row r="59" spans="1:3" ht="12.75">
      <c r="A59" s="220">
        <v>1987</v>
      </c>
      <c r="B59" s="157">
        <v>295890</v>
      </c>
      <c r="C59" s="157"/>
    </row>
    <row r="60" spans="1:3" ht="12.75">
      <c r="A60" s="220">
        <v>1988</v>
      </c>
      <c r="B60" s="157">
        <v>303850</v>
      </c>
      <c r="C60" s="157"/>
    </row>
    <row r="61" spans="1:3" ht="12.75">
      <c r="A61" s="220">
        <v>1989</v>
      </c>
      <c r="B61" s="157">
        <v>294160</v>
      </c>
      <c r="C61" s="157"/>
    </row>
    <row r="62" spans="1:3" ht="12.75">
      <c r="A62" s="220">
        <v>1990</v>
      </c>
      <c r="B62" s="157">
        <v>283350</v>
      </c>
      <c r="C62" s="157"/>
    </row>
    <row r="63" spans="1:3" ht="12.75">
      <c r="A63" s="220">
        <v>1991</v>
      </c>
      <c r="B63" s="157">
        <v>300170</v>
      </c>
      <c r="C63" s="157">
        <v>7638.4</v>
      </c>
    </row>
    <row r="64" spans="1:3" ht="12.75">
      <c r="A64" s="220">
        <v>1992</v>
      </c>
      <c r="B64" s="157">
        <v>288460</v>
      </c>
      <c r="C64" s="157">
        <v>8042.72</v>
      </c>
    </row>
    <row r="65" spans="1:3" ht="12.75">
      <c r="A65" s="220">
        <v>1993</v>
      </c>
      <c r="B65" s="157">
        <v>274470</v>
      </c>
      <c r="C65" s="157">
        <v>6181.12</v>
      </c>
    </row>
    <row r="66" spans="1:3" ht="12.75">
      <c r="A66" s="220">
        <v>1994</v>
      </c>
      <c r="B66" s="157">
        <v>289850</v>
      </c>
      <c r="C66" s="157">
        <v>13763.2</v>
      </c>
    </row>
    <row r="67" spans="1:3" ht="12.75">
      <c r="A67" s="220">
        <v>1995</v>
      </c>
      <c r="B67" s="157">
        <v>307530</v>
      </c>
      <c r="C67" s="157">
        <v>69252.97</v>
      </c>
    </row>
    <row r="68" spans="1:3" ht="12.75">
      <c r="A68" s="220">
        <v>1996</v>
      </c>
      <c r="B68" s="157">
        <v>270659</v>
      </c>
      <c r="C68" s="157">
        <v>21799.33</v>
      </c>
    </row>
    <row r="69" spans="1:3" ht="12.75">
      <c r="A69" s="220">
        <v>1997</v>
      </c>
      <c r="B69" s="157">
        <v>280000</v>
      </c>
      <c r="C69" s="157">
        <v>22150</v>
      </c>
    </row>
    <row r="70" spans="1:3" ht="12.75">
      <c r="A70" s="221">
        <v>1998</v>
      </c>
      <c r="B70" s="158">
        <v>199463</v>
      </c>
      <c r="C70" s="222">
        <v>52167</v>
      </c>
    </row>
    <row r="71" spans="1:3" ht="12.75">
      <c r="A71" s="221">
        <v>1999</v>
      </c>
      <c r="B71" s="158">
        <v>205361</v>
      </c>
      <c r="C71" s="222">
        <v>44218</v>
      </c>
    </row>
    <row r="72" spans="1:3" ht="12.75">
      <c r="A72" s="220">
        <v>2000</v>
      </c>
      <c r="B72" s="157">
        <v>98268</v>
      </c>
      <c r="C72" s="222">
        <v>9380</v>
      </c>
    </row>
    <row r="73" spans="1:3" ht="12.75">
      <c r="A73" s="220">
        <v>2001</v>
      </c>
      <c r="B73" s="28">
        <v>75422</v>
      </c>
      <c r="C73" s="222">
        <v>8719</v>
      </c>
    </row>
    <row r="75" ht="12.75">
      <c r="B75" s="50">
        <f>AVERAGE(B58:B73)</f>
        <v>252431.4375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2002-05-22T18:27:18Z</cp:lastPrinted>
  <dcterms:created xsi:type="dcterms:W3CDTF">1998-04-15T20:46:00Z</dcterms:created>
  <dcterms:modified xsi:type="dcterms:W3CDTF">2005-02-17T20:48:10Z</dcterms:modified>
  <cp:category/>
  <cp:version/>
  <cp:contentType/>
  <cp:contentStatus/>
</cp:coreProperties>
</file>