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195" activeTab="6"/>
  </bookViews>
  <sheets>
    <sheet name="Rawdata" sheetId="1" r:id="rId1"/>
    <sheet name="Walker" sheetId="2" r:id="rId2"/>
    <sheet name="Res" sheetId="3" r:id="rId3"/>
    <sheet name="Tables" sheetId="4" r:id="rId4"/>
    <sheet name="Lateflow" sheetId="5" r:id="rId5"/>
    <sheet name="Annualld" sheetId="6" r:id="rId6"/>
    <sheet name="Loading" sheetId="7" r:id="rId7"/>
    <sheet name="Models" sheetId="8" r:id="rId8"/>
    <sheet name="Summary" sheetId="9" r:id="rId9"/>
    <sheet name="Phytoplank" sheetId="10" r:id="rId10"/>
    <sheet name="Hardness" sheetId="11" r:id="rId11"/>
    <sheet name="QC" sheetId="12" r:id="rId12"/>
    <sheet name="Metals" sheetId="13" r:id="rId13"/>
  </sheets>
  <definedNames>
    <definedName name="_xlnm.Print_Area" localSheetId="5">'Annualld'!$A$1:$I$31</definedName>
    <definedName name="_xlnm.Print_Area" localSheetId="6">'Loading'!$A$20:$G$35</definedName>
    <definedName name="_xlnm.Print_Area" localSheetId="12">'Metals'!$A$19:$H$263</definedName>
    <definedName name="_xlnm.Print_Area" localSheetId="7">'Models'!$A$5:$C$20</definedName>
    <definedName name="_xlnm.Print_Area" localSheetId="9">'Phytoplank'!$A$1:$L$49</definedName>
    <definedName name="_xlnm.Print_Area" localSheetId="11">'QC'!$A$67:$J$102</definedName>
    <definedName name="_xlnm.Print_Area" localSheetId="0">'Rawdata'!$A$79:$H$105</definedName>
    <definedName name="_xlnm.Print_Area">'Walker'!$L$1:$R$25</definedName>
    <definedName name="PRINT_AREA_MI">'Walker'!$L$1:$R$25</definedName>
  </definedNames>
  <calcPr fullCalcOnLoad="1"/>
</workbook>
</file>

<file path=xl/sharedStrings.xml><?xml version="1.0" encoding="utf-8"?>
<sst xmlns="http://schemas.openxmlformats.org/spreadsheetml/2006/main" count="1522" uniqueCount="331">
  <si>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</si>
  <si>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</si>
  <si>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</si>
  <si>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</si>
  <si>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</si>
  <si>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</si>
  <si>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</si>
  <si>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</si>
  <si>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</si>
  <si>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</si>
  <si>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</si>
  <si>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Site 0</t>
  </si>
  <si>
    <t>Site 1</t>
  </si>
  <si>
    <t>Site 2</t>
  </si>
  <si>
    <t>Site DC</t>
  </si>
  <si>
    <t xml:space="preserve">Site 7 </t>
  </si>
  <si>
    <t>Outflow</t>
  </si>
  <si>
    <t>PCupper</t>
  </si>
  <si>
    <t>PCin</t>
  </si>
  <si>
    <t>DCin</t>
  </si>
  <si>
    <t>SPRupper</t>
  </si>
  <si>
    <t>Reservoir</t>
  </si>
  <si>
    <t>Nitrate</t>
  </si>
  <si>
    <t>TN</t>
  </si>
  <si>
    <t>Total Phosphorus</t>
  </si>
  <si>
    <t>Ammonia - Nitrogen</t>
  </si>
  <si>
    <t>TSS</t>
  </si>
  <si>
    <t>Site 2C</t>
  </si>
  <si>
    <t>Fecal Coliform</t>
  </si>
  <si>
    <t>Flow</t>
  </si>
  <si>
    <t>Reservior Data</t>
  </si>
  <si>
    <t>Secchi</t>
  </si>
  <si>
    <t>Chlorophyll</t>
  </si>
  <si>
    <t>cfs</t>
  </si>
  <si>
    <t>NH3 Load</t>
  </si>
  <si>
    <t>lbs/day</t>
  </si>
  <si>
    <t>TP Load</t>
  </si>
  <si>
    <t>NO3 Load</t>
  </si>
  <si>
    <t>NO3 Load*</t>
  </si>
  <si>
    <t>* The formula is (concentration x flow)*5.760</t>
  </si>
  <si>
    <t>TSS Load</t>
  </si>
  <si>
    <t>TSS Load*</t>
  </si>
  <si>
    <t>* The formula is (concentration x flow)x5.395</t>
  </si>
  <si>
    <t>TP Load*</t>
  </si>
  <si>
    <t>NH3 Load*</t>
  </si>
  <si>
    <t>Average</t>
  </si>
  <si>
    <t>Parameter</t>
  </si>
  <si>
    <t>Units</t>
  </si>
  <si>
    <t>2C</t>
  </si>
  <si>
    <t>Temperature</t>
  </si>
  <si>
    <t>Stream Flow</t>
  </si>
  <si>
    <t>Conductance</t>
  </si>
  <si>
    <t>Dissolved Oxygen</t>
  </si>
  <si>
    <t>pH</t>
  </si>
  <si>
    <t>Nitrogen, Total</t>
  </si>
  <si>
    <t>NH3-Nitrogen</t>
  </si>
  <si>
    <t>Ortho Phosphorus</t>
  </si>
  <si>
    <t>Chlorophyll-a</t>
  </si>
  <si>
    <t>Total Depth</t>
  </si>
  <si>
    <t>Secchi Depth</t>
  </si>
  <si>
    <t>Key - Sample Sites</t>
  </si>
  <si>
    <t>Chatfield Reservoir Outflow near Littleton, CO</t>
  </si>
  <si>
    <t>South Platte River at Waterton Canyon, CO</t>
  </si>
  <si>
    <t>Plum Creek at Titan Road near Louviers, CO</t>
  </si>
  <si>
    <t>Plum Creek above Chatfield Reservoir</t>
  </si>
  <si>
    <t>Chatfield Reservoir near Dam</t>
  </si>
  <si>
    <t>deg C</t>
  </si>
  <si>
    <t>us/cm</t>
  </si>
  <si>
    <t>mg/l</t>
  </si>
  <si>
    <t>s.u.</t>
  </si>
  <si>
    <t>g/m3</t>
  </si>
  <si>
    <t>ug/L</t>
  </si>
  <si>
    <t>m</t>
  </si>
  <si>
    <t>DC</t>
  </si>
  <si>
    <t>Fecal Coliforms</t>
  </si>
  <si>
    <t># /100ml</t>
  </si>
  <si>
    <t>Deer Creek inflow into Chatfield Reservoir</t>
  </si>
  <si>
    <t>Year</t>
  </si>
  <si>
    <t>mg/L as N</t>
  </si>
  <si>
    <t>mg/L as P</t>
  </si>
  <si>
    <t>Chatfield Reservoir Outflow near Littleton, CO (Site O)</t>
  </si>
  <si>
    <t>1987-1996 Average</t>
  </si>
  <si>
    <t>South Plate River at Waterton Canyon (Site 1)</t>
  </si>
  <si>
    <t>Plum Creek at Titan Road near Louviers, CO (Site 2)</t>
  </si>
  <si>
    <t>Combined Reservoir Sites</t>
  </si>
  <si>
    <t>Goals</t>
  </si>
  <si>
    <t>17 ug/L (target)</t>
  </si>
  <si>
    <t>27 ug/L (standard)</t>
  </si>
  <si>
    <t>1987-1996</t>
  </si>
  <si>
    <t>Trophic Indicator</t>
  </si>
  <si>
    <t>Concentrations</t>
  </si>
  <si>
    <t>Average Growing Season Chlorophyll-a</t>
  </si>
  <si>
    <t>Peak Chlorophyll-a</t>
  </si>
  <si>
    <t>Average Total Phosphorus</t>
  </si>
  <si>
    <t>Peak Total Phosphorus</t>
  </si>
  <si>
    <t>Peak Ortho Phosphorus</t>
  </si>
  <si>
    <t>6.9 ug/L</t>
  </si>
  <si>
    <t>13 ug/L</t>
  </si>
  <si>
    <t>46 ug/L</t>
  </si>
  <si>
    <t>37ug/L</t>
  </si>
  <si>
    <t>3.1 m</t>
  </si>
  <si>
    <t>2.3 ug/L</t>
  </si>
  <si>
    <t>Carlson</t>
  </si>
  <si>
    <t>xsd</t>
  </si>
  <si>
    <t>xca</t>
  </si>
  <si>
    <t>xtp</t>
  </si>
  <si>
    <t>meso</t>
  </si>
  <si>
    <t>Walker</t>
  </si>
  <si>
    <t>lca</t>
  </si>
  <si>
    <t>ltp</t>
  </si>
  <si>
    <t>lsd</t>
  </si>
  <si>
    <t>eu</t>
  </si>
  <si>
    <t>Site</t>
  </si>
  <si>
    <t>As</t>
  </si>
  <si>
    <t>Cd</t>
  </si>
  <si>
    <t>Ca</t>
  </si>
  <si>
    <t>Cu</t>
  </si>
  <si>
    <t>Cr(V)</t>
  </si>
  <si>
    <t>Cr(III)</t>
  </si>
  <si>
    <t>Mg</t>
  </si>
  <si>
    <t>Mn</t>
  </si>
  <si>
    <t>Ni</t>
  </si>
  <si>
    <t>Se</t>
  </si>
  <si>
    <t>Ag</t>
  </si>
  <si>
    <t>Zn</t>
  </si>
  <si>
    <t>y</t>
  </si>
  <si>
    <t>d</t>
  </si>
  <si>
    <t>Hg</t>
  </si>
  <si>
    <t>n</t>
  </si>
  <si>
    <t>Sediments</t>
  </si>
  <si>
    <t xml:space="preserve">y - above MDL </t>
  </si>
  <si>
    <t>d - detected, not above MDL</t>
  </si>
  <si>
    <t>n- not detected</t>
  </si>
  <si>
    <t>Metals</t>
  </si>
  <si>
    <t>HARDNESS</t>
  </si>
  <si>
    <t>(mg/L as CaCO3)</t>
  </si>
  <si>
    <t>Site 7</t>
  </si>
  <si>
    <t>0.02 mg/L</t>
  </si>
  <si>
    <t>ln(hardness)</t>
  </si>
  <si>
    <t>Ammonia</t>
  </si>
  <si>
    <t xml:space="preserve">Chronic </t>
  </si>
  <si>
    <t>Standards</t>
  </si>
  <si>
    <t>Acute</t>
  </si>
  <si>
    <t>Cadmium</t>
  </si>
  <si>
    <t>Chronic</t>
  </si>
  <si>
    <t>Cr III</t>
  </si>
  <si>
    <t>Cr VI</t>
  </si>
  <si>
    <t>Copper</t>
  </si>
  <si>
    <t>Lead</t>
  </si>
  <si>
    <t>Nickel</t>
  </si>
  <si>
    <t>Selenium</t>
  </si>
  <si>
    <t>Silver</t>
  </si>
  <si>
    <t>Observed</t>
  </si>
  <si>
    <t>no</t>
  </si>
  <si>
    <t>Exceedances</t>
  </si>
  <si>
    <t>Zinc</t>
  </si>
  <si>
    <t xml:space="preserve"> 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</si>
  <si>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</si>
  <si>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</si>
  <si>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</si>
  <si>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</si>
  <si>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</si>
  <si>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</si>
  <si>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</si>
  <si>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</si>
  <si>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</si>
  <si>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</si>
  <si>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</si>
  <si>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</si>
  <si>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</si>
  <si>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</si>
  <si>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</si>
  <si>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Column2</t>
  </si>
  <si>
    <t>Column0</t>
  </si>
  <si>
    <t>Column7</t>
  </si>
  <si>
    <t>Hardness</t>
  </si>
  <si>
    <t>Hardness*</t>
  </si>
  <si>
    <t>*Values are the lower 95% C.L. for mean hardness value for each site</t>
  </si>
  <si>
    <t>TP</t>
  </si>
  <si>
    <t>Standard</t>
  </si>
  <si>
    <r>
      <t>e</t>
    </r>
    <r>
      <rPr>
        <vertAlign val="superscript"/>
        <sz val="10"/>
        <rFont val="Helvetica"/>
        <family val="2"/>
      </rPr>
      <t>(0.8473[ln(hardness)]+.7614</t>
    </r>
  </si>
  <si>
    <r>
      <t>e</t>
    </r>
    <r>
      <rPr>
        <vertAlign val="superscript"/>
        <sz val="10"/>
        <rFont val="Helvetica"/>
        <family val="2"/>
      </rPr>
      <t>(1.72[ln(hardness)]-9.06</t>
    </r>
  </si>
  <si>
    <r>
      <t>e</t>
    </r>
    <r>
      <rPr>
        <vertAlign val="superscript"/>
        <sz val="10"/>
        <rFont val="Helvetica"/>
        <family val="2"/>
      </rPr>
      <t>(1.72[ln(hardness)]-7.21</t>
    </r>
  </si>
  <si>
    <r>
      <t>e</t>
    </r>
    <r>
      <rPr>
        <vertAlign val="superscript"/>
        <sz val="10"/>
        <rFont val="Helvetica"/>
        <family val="2"/>
      </rPr>
      <t>(0.76[ln(hardness)]+1.06</t>
    </r>
  </si>
  <si>
    <r>
      <t>e</t>
    </r>
    <r>
      <rPr>
        <vertAlign val="superscript"/>
        <sz val="10"/>
        <rFont val="Helvetica"/>
        <family val="2"/>
      </rPr>
      <t>(0.76[ln(hardness)]+3.33</t>
    </r>
  </si>
  <si>
    <r>
      <t>e</t>
    </r>
    <r>
      <rPr>
        <vertAlign val="superscript"/>
        <sz val="10"/>
        <rFont val="Helvetica"/>
        <family val="2"/>
      </rPr>
      <t>(1.417[ln(hardness)]-5.167</t>
    </r>
  </si>
  <si>
    <r>
      <t>e</t>
    </r>
    <r>
      <rPr>
        <vertAlign val="superscript"/>
        <sz val="10"/>
        <rFont val="Helvetica"/>
        <family val="2"/>
      </rPr>
      <t>(1.6148[ln(hardness)]-2.8736</t>
    </r>
  </si>
  <si>
    <r>
      <t>e</t>
    </r>
    <r>
      <rPr>
        <vertAlign val="superscript"/>
        <sz val="10"/>
        <rFont val="Helvetica"/>
        <family val="2"/>
      </rPr>
      <t>(0.8545[ln(hardness)]-1.465</t>
    </r>
  </si>
  <si>
    <r>
      <t>e</t>
    </r>
    <r>
      <rPr>
        <vertAlign val="superscript"/>
        <sz val="10"/>
        <rFont val="Helvetica"/>
        <family val="2"/>
      </rPr>
      <t>(0.9422[ln(hardness)]-1.4634</t>
    </r>
  </si>
  <si>
    <r>
      <t>e</t>
    </r>
    <r>
      <rPr>
        <vertAlign val="superscript"/>
        <sz val="10"/>
        <rFont val="Helvetica"/>
        <family val="2"/>
      </rPr>
      <t>(0.819[ln(hardness)]+3.688</t>
    </r>
  </si>
  <si>
    <r>
      <t>e</t>
    </r>
    <r>
      <rPr>
        <vertAlign val="superscript"/>
        <sz val="10"/>
        <rFont val="Helvetica"/>
        <family val="2"/>
      </rPr>
      <t>(0.819[ln(hardness)]+1.561</t>
    </r>
  </si>
  <si>
    <r>
      <t>e</t>
    </r>
    <r>
      <rPr>
        <vertAlign val="superscript"/>
        <sz val="10"/>
        <rFont val="Helvetica"/>
        <family val="2"/>
      </rPr>
      <t>(0.7852[ln(hardness)]-3.490</t>
    </r>
  </si>
  <si>
    <r>
      <t>e</t>
    </r>
    <r>
      <rPr>
        <vertAlign val="superscript"/>
        <sz val="10"/>
        <rFont val="Helvetica"/>
        <family val="2"/>
      </rPr>
      <t>(0.8473[ln(hardness)]-0.8604</t>
    </r>
  </si>
  <si>
    <t>Bacillariophyta</t>
  </si>
  <si>
    <t>Chlorophyta</t>
  </si>
  <si>
    <t>Cryptophyta</t>
  </si>
  <si>
    <t>Euglenophyta</t>
  </si>
  <si>
    <t>Pyrrophyta</t>
  </si>
  <si>
    <t>SUSPENDED</t>
  </si>
  <si>
    <t>(NTUS)</t>
  </si>
  <si>
    <t>(mg/L)</t>
  </si>
  <si>
    <t>(Deg C)</t>
  </si>
  <si>
    <t>(#/100 ML)</t>
  </si>
  <si>
    <t>(mg/L as N)</t>
  </si>
  <si>
    <t>(mg/L as P)</t>
  </si>
  <si>
    <t>(cfs)</t>
  </si>
  <si>
    <t>(Meters)</t>
  </si>
  <si>
    <r>
      <t>(gm/M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</si>
  <si>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r>
      <t>(mg/M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</si>
  <si>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>Spec.  Cond</t>
  </si>
  <si>
    <t>Field</t>
  </si>
  <si>
    <t>(s.u.)</t>
  </si>
  <si>
    <t>(us/cm)</t>
  </si>
  <si>
    <t>Turbidity</t>
  </si>
  <si>
    <t>D.O.</t>
  </si>
  <si>
    <t>Temp</t>
  </si>
  <si>
    <t>Alkalinity</t>
  </si>
  <si>
    <t>BOD</t>
  </si>
  <si>
    <t>Cyanide</t>
  </si>
  <si>
    <t>NO3</t>
  </si>
  <si>
    <t>NO2/NO3</t>
  </si>
  <si>
    <t>NO2</t>
  </si>
  <si>
    <t>NH3-N</t>
  </si>
  <si>
    <t>N, Total</t>
  </si>
  <si>
    <t>Ortho-P, Total</t>
  </si>
  <si>
    <t>As, total</t>
  </si>
  <si>
    <t>Cd, Diss</t>
  </si>
  <si>
    <t>Ca, Diss</t>
  </si>
  <si>
    <t>Cu, Diss</t>
  </si>
  <si>
    <t>Cr(VI), Diss</t>
  </si>
  <si>
    <t>Cr(III), Diss</t>
  </si>
  <si>
    <t>Fe, Diss</t>
  </si>
  <si>
    <t>Pb, Diss</t>
  </si>
  <si>
    <t>Mg, Diss</t>
  </si>
  <si>
    <t>Mn, Diss</t>
  </si>
  <si>
    <t>Hg, Diss</t>
  </si>
  <si>
    <t>Ni, Diss</t>
  </si>
  <si>
    <t>Se, Diss</t>
  </si>
  <si>
    <t>Ag, Diss</t>
  </si>
  <si>
    <t>Zn, Diss</t>
  </si>
  <si>
    <t>Sample Depth</t>
  </si>
  <si>
    <t>Secchi Disk</t>
  </si>
  <si>
    <t>Chloro-a</t>
  </si>
  <si>
    <t>Asterionella formosa var. formosa</t>
  </si>
  <si>
    <t>Fragilaria crotensis</t>
  </si>
  <si>
    <t>Stephanodiscus astraea</t>
  </si>
  <si>
    <t>Chlamydomonas sp.</t>
  </si>
  <si>
    <t>Closterium sp.</t>
  </si>
  <si>
    <t>Cyanophyta</t>
  </si>
  <si>
    <t>Aphanocapsa delicatissima</t>
  </si>
  <si>
    <t>Merimopedia tenuissima</t>
  </si>
  <si>
    <t>Chrysophyta</t>
  </si>
  <si>
    <t>Dinobryon sociale</t>
  </si>
  <si>
    <t>Trachelomonas sp.</t>
  </si>
  <si>
    <t>Cryptmonas erosa</t>
  </si>
  <si>
    <t>Ceratium hirundinella</t>
  </si>
  <si>
    <t>Cosmarium sp.</t>
  </si>
  <si>
    <t>Mougeotia sp.</t>
  </si>
  <si>
    <t>Anabaena spiroides</t>
  </si>
  <si>
    <t>Outflow (0)</t>
  </si>
  <si>
    <t>SPR (1)</t>
  </si>
  <si>
    <t>PC (2)</t>
  </si>
  <si>
    <t>Total Count</t>
  </si>
  <si>
    <t>lbs/mo</t>
  </si>
  <si>
    <t>TOTAL</t>
  </si>
  <si>
    <t>Loading</t>
  </si>
  <si>
    <t>mg/L</t>
  </si>
  <si>
    <t>MDL / 2</t>
  </si>
  <si>
    <t>Data Sheets</t>
  </si>
  <si>
    <t>Unit Conversion</t>
  </si>
  <si>
    <t>Observed Values</t>
  </si>
  <si>
    <t>Quality Control Check</t>
  </si>
  <si>
    <t>1.417*ln(hardness)</t>
  </si>
  <si>
    <t>Lead(chronic)</t>
  </si>
  <si>
    <t>Silver(acute)</t>
  </si>
  <si>
    <t>1.72*ln(hardness)</t>
  </si>
  <si>
    <t>[1.72*ln(hardness)]-7.21</t>
  </si>
  <si>
    <t>Silver(chronic)</t>
  </si>
  <si>
    <t>[1.417*ln(hardness)]-5.167</t>
  </si>
  <si>
    <t>[1.72*ln(hardness)]-9.06</t>
  </si>
  <si>
    <r>
      <t>e</t>
    </r>
    <r>
      <rPr>
        <vertAlign val="superscript"/>
        <sz val="6"/>
        <rFont val="Helvetica"/>
        <family val="2"/>
      </rPr>
      <t>(1.417[ln(hardness)]-5.167</t>
    </r>
  </si>
  <si>
    <r>
      <t>e</t>
    </r>
    <r>
      <rPr>
        <vertAlign val="superscript"/>
        <sz val="6"/>
        <rFont val="Helvetica"/>
        <family val="2"/>
      </rPr>
      <t>(1.72[ln(hardness)]-7.21</t>
    </r>
  </si>
  <si>
    <r>
      <t>e</t>
    </r>
    <r>
      <rPr>
        <vertAlign val="superscript"/>
        <sz val="10"/>
        <rFont val="Helvetica"/>
        <family val="2"/>
      </rPr>
      <t>(1.128[ln(hardness)]-2.905</t>
    </r>
  </si>
  <si>
    <t>In</t>
  </si>
  <si>
    <t>Total</t>
  </si>
  <si>
    <t>Out</t>
  </si>
  <si>
    <t>log chloro</t>
  </si>
  <si>
    <t>log TP</t>
  </si>
  <si>
    <t>(Total phos loading/mean outflow)*386</t>
  </si>
  <si>
    <t>P=</t>
  </si>
  <si>
    <t>lake volume/mean outflow</t>
  </si>
  <si>
    <t>T=</t>
  </si>
  <si>
    <t>5.5m</t>
  </si>
  <si>
    <t>Z=</t>
  </si>
  <si>
    <t>XTP</t>
  </si>
  <si>
    <t>XCA</t>
  </si>
  <si>
    <t>XSD</t>
  </si>
  <si>
    <t>meso-eu</t>
  </si>
  <si>
    <t>h</t>
  </si>
  <si>
    <t>Carlson's Index - Seasonal Averages</t>
  </si>
  <si>
    <t>Iw</t>
  </si>
  <si>
    <t>Isd</t>
  </si>
  <si>
    <t>Itp</t>
  </si>
  <si>
    <t>Ica</t>
  </si>
  <si>
    <t>Carlson's Index - Annual Averages</t>
  </si>
  <si>
    <t>Walker's Index - Seasonal Averages</t>
  </si>
  <si>
    <t>eutro</t>
  </si>
  <si>
    <t>hyper</t>
  </si>
  <si>
    <t>hypereutrophic</t>
  </si>
  <si>
    <t>65+</t>
  </si>
  <si>
    <t>Chl</t>
  </si>
  <si>
    <t>eutrophic</t>
  </si>
  <si>
    <t>50-65</t>
  </si>
  <si>
    <t>mesotrophic-eutrophic</t>
  </si>
  <si>
    <t>45-50</t>
  </si>
  <si>
    <t>mesotrophic</t>
  </si>
  <si>
    <t>30-45</t>
  </si>
  <si>
    <t>Seasonal Means</t>
  </si>
  <si>
    <t>oligotrophic-mesotrophic</t>
  </si>
  <si>
    <t>25-30</t>
  </si>
  <si>
    <t>oligotrophic</t>
  </si>
  <si>
    <t>0-25</t>
  </si>
  <si>
    <t>Annual Means</t>
  </si>
  <si>
    <t>Walker's Index - Annual Averages</t>
  </si>
  <si>
    <t>Hypereutrophic</t>
  </si>
  <si>
    <t>Eutrophic</t>
  </si>
  <si>
    <t>Mesotrophic-Eutrophic</t>
  </si>
  <si>
    <t>Mesotrophic</t>
  </si>
  <si>
    <t>Oligotrophic-Mesotrophic</t>
  </si>
  <si>
    <t>Oligotrophic</t>
  </si>
  <si>
    <t>Note:  JV treating this data consistent with calc inflow from other spreadsheets (i.e. Reservoir TP load = SP load + PC load)  JV adjusted TP load to reservoir to the number highlighted in yellow at left based on review of data.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</si>
</sst>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General_)"/>
    <numFmt numFmtId="167" formatCode="dd\-mmm\-yy_)"/>
    <numFmt numFmtId="168" formatCode="0.0000"/>
    <numFmt numFmtId="169" formatCode="0.0"/>
    <numFmt numFmtId="170" formatCode="mm/dd/yy"/>
    <numFmt numFmtId="171" formatCode="0_)"/>
    <numFmt numFmtId="172" formatCode="mm/dd/yy_)"/>
    <numFmt numFmtId="173" formatCode="0.000_)"/>
  </numFmts>
  <fonts count="42">
    <font>
      <sz val="10"/>
      <name val="Helvetica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.75"/>
      <name val="Arial"/>
      <family val="2"/>
    </font>
    <font>
      <b/>
      <sz val="11"/>
      <name val="Arial"/>
      <family val="2"/>
    </font>
    <font>
      <sz val="8.25"/>
      <name val="Arial"/>
      <family val="2"/>
    </font>
    <font>
      <sz val="10.25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  <font>
      <sz val="9.25"/>
      <name val="Arial"/>
      <family val="2"/>
    </font>
    <font>
      <sz val="10.5"/>
      <name val="Arial"/>
      <family val="0"/>
    </font>
    <font>
      <sz val="8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0"/>
    </font>
    <font>
      <i/>
      <sz val="8"/>
      <name val="Arial"/>
      <family val="2"/>
    </font>
    <font>
      <b/>
      <sz val="12"/>
      <name val="Helvetica"/>
      <family val="2"/>
    </font>
    <font>
      <b/>
      <sz val="10"/>
      <name val="Helvetica"/>
      <family val="2"/>
    </font>
    <font>
      <i/>
      <sz val="10"/>
      <name val="Helvetica"/>
      <family val="2"/>
    </font>
    <font>
      <b/>
      <sz val="14"/>
      <name val="Helvetica"/>
      <family val="2"/>
    </font>
    <font>
      <vertAlign val="superscript"/>
      <sz val="10"/>
      <name val="Helvetica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u val="single"/>
      <sz val="10"/>
      <color indexed="12"/>
      <name val="Helvetica"/>
      <family val="2"/>
    </font>
    <font>
      <b/>
      <sz val="11.5"/>
      <name val="Arial"/>
      <family val="2"/>
    </font>
    <font>
      <sz val="15"/>
      <name val="Arial"/>
      <family val="0"/>
    </font>
    <font>
      <sz val="15.25"/>
      <name val="Arial"/>
      <family val="0"/>
    </font>
    <font>
      <b/>
      <sz val="11.75"/>
      <name val="Arial"/>
      <family val="2"/>
    </font>
    <font>
      <sz val="17.25"/>
      <name val="Arial"/>
      <family val="0"/>
    </font>
    <font>
      <sz val="8"/>
      <name val="Helvetica"/>
      <family val="2"/>
    </font>
    <font>
      <sz val="6"/>
      <name val="Helvetica"/>
      <family val="2"/>
    </font>
    <font>
      <vertAlign val="superscript"/>
      <sz val="6"/>
      <name val="Helvetica"/>
      <family val="2"/>
    </font>
    <font>
      <sz val="10"/>
      <name val="Helv"/>
      <family val="0"/>
    </font>
    <font>
      <sz val="8"/>
      <name val="Helv"/>
      <family val="0"/>
    </font>
    <font>
      <b/>
      <sz val="8.25"/>
      <name val="Arial"/>
      <family val="2"/>
    </font>
    <font>
      <sz val="9.5"/>
      <name val="Arial"/>
      <family val="0"/>
    </font>
    <font>
      <sz val="5.25"/>
      <name val="Arial"/>
      <family val="2"/>
    </font>
    <font>
      <b/>
      <sz val="8.5"/>
      <name val="Arial"/>
      <family val="2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5" fontId="16" fillId="0" borderId="0" xfId="0" applyNumberFormat="1" applyFont="1" applyBorder="1" applyAlignment="1" applyProtection="1">
      <alignment horizontal="center"/>
      <protection/>
    </xf>
    <xf numFmtId="15" fontId="16" fillId="0" borderId="0" xfId="0" applyNumberFormat="1" applyFont="1" applyAlignment="1" applyProtection="1">
      <alignment horizontal="center"/>
      <protection/>
    </xf>
    <xf numFmtId="15" fontId="16" fillId="0" borderId="0" xfId="0" applyNumberFormat="1" applyFont="1" applyFill="1" applyBorder="1" applyAlignment="1" applyProtection="1">
      <alignment horizontal="center"/>
      <protection/>
    </xf>
    <xf numFmtId="15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15" fontId="3" fillId="0" borderId="0" xfId="0" applyNumberFormat="1" applyFont="1" applyBorder="1" applyAlignment="1" applyProtection="1">
      <alignment horizontal="center"/>
      <protection/>
    </xf>
    <xf numFmtId="15" fontId="3" fillId="0" borderId="0" xfId="0" applyNumberFormat="1" applyFont="1" applyBorder="1" applyAlignment="1">
      <alignment horizontal="center"/>
    </xf>
    <xf numFmtId="15" fontId="3" fillId="0" borderId="0" xfId="0" applyNumberFormat="1" applyFont="1" applyAlignment="1">
      <alignment horizontal="center"/>
    </xf>
    <xf numFmtId="1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7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Alignment="1" applyProtection="1">
      <alignment horizontal="center"/>
      <protection/>
    </xf>
    <xf numFmtId="167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5" fontId="3" fillId="0" borderId="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17" fillId="0" borderId="5" xfId="0" applyFont="1" applyFill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70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0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4" fillId="0" borderId="1" xfId="0" applyFont="1" applyBorder="1" applyAlignment="1">
      <alignment horizontal="centerContinuous"/>
    </xf>
    <xf numFmtId="0" fontId="24" fillId="0" borderId="1" xfId="0" applyFont="1" applyBorder="1" applyAlignment="1">
      <alignment horizontal="center"/>
    </xf>
    <xf numFmtId="171" fontId="24" fillId="0" borderId="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/>
    </xf>
    <xf numFmtId="172" fontId="0" fillId="0" borderId="0" xfId="0" applyNumberForma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1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0" fontId="16" fillId="0" borderId="0" xfId="0" applyNumberFormat="1" applyFont="1" applyBorder="1" applyAlignment="1" applyProtection="1">
      <alignment horizontal="center"/>
      <protection/>
    </xf>
    <xf numFmtId="170" fontId="16" fillId="0" borderId="0" xfId="0" applyNumberFormat="1" applyFont="1" applyAlignment="1" applyProtection="1">
      <alignment horizontal="center"/>
      <protection/>
    </xf>
    <xf numFmtId="170" fontId="16" fillId="0" borderId="0" xfId="0" applyNumberFormat="1" applyFont="1" applyFill="1" applyBorder="1" applyAlignment="1" applyProtection="1">
      <alignment horizontal="center"/>
      <protection/>
    </xf>
    <xf numFmtId="170" fontId="16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32" fillId="0" borderId="0" xfId="0" applyFont="1" applyAlignment="1">
      <alignment/>
    </xf>
    <xf numFmtId="0" fontId="0" fillId="3" borderId="0" xfId="0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2" fontId="32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" fontId="1" fillId="0" borderId="0" xfId="0" applyNumberFormat="1" applyFont="1" applyAlignment="1">
      <alignment horizontal="left"/>
    </xf>
    <xf numFmtId="1" fontId="1" fillId="4" borderId="0" xfId="0" applyNumberFormat="1" applyFont="1" applyFill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right"/>
      <protection/>
    </xf>
    <xf numFmtId="173" fontId="35" fillId="0" borderId="0" xfId="0" applyNumberFormat="1" applyFont="1" applyAlignment="1" applyProtection="1">
      <alignment/>
      <protection/>
    </xf>
    <xf numFmtId="1" fontId="35" fillId="0" borderId="0" xfId="0" applyNumberFormat="1" applyFont="1" applyAlignment="1" applyProtection="1">
      <alignment/>
      <protection/>
    </xf>
    <xf numFmtId="171" fontId="35" fillId="0" borderId="0" xfId="0" applyNumberFormat="1" applyFont="1" applyAlignment="1" applyProtection="1">
      <alignment/>
      <protection/>
    </xf>
    <xf numFmtId="2" fontId="35" fillId="0" borderId="0" xfId="0" applyNumberFormat="1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1997 Chatfield Inflows 
Nitrate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168"/>
          <c:w val="0.87575"/>
          <c:h val="0.737"/>
        </c:manualLayout>
      </c:layout>
      <c:lineChart>
        <c:grouping val="standard"/>
        <c:varyColors val="0"/>
        <c:ser>
          <c:idx val="0"/>
          <c:order val="0"/>
          <c:tx>
            <c:v>Site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99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Rawdata!$A$4:$A$14</c:f>
              <c:strCache/>
            </c:strRef>
          </c:cat>
          <c:val>
            <c:numRef>
              <c:f>Rawdata!$C$4:$C$14</c:f>
              <c:numCache/>
            </c:numRef>
          </c:val>
          <c:smooth val="0"/>
        </c:ser>
        <c:ser>
          <c:idx val="1"/>
          <c:order val="1"/>
          <c:tx>
            <c:v>Site 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Rawdata!$A$4:$A$14</c:f>
              <c:strCache/>
            </c:strRef>
          </c:cat>
          <c:val>
            <c:numRef>
              <c:f>Rawdata!$D$4:$D$14</c:f>
              <c:numCache/>
            </c:numRef>
          </c:val>
          <c:smooth val="0"/>
        </c:ser>
        <c:ser>
          <c:idx val="2"/>
          <c:order val="2"/>
          <c:tx>
            <c:v>Site 2C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Rawdata!$A$4:$A$14</c:f>
              <c:strCache/>
            </c:strRef>
          </c:cat>
          <c:val>
            <c:numRef>
              <c:f>Rawdata!$E$4:$E$14</c:f>
              <c:numCache/>
            </c:numRef>
          </c:val>
          <c:smooth val="0"/>
        </c:ser>
        <c:ser>
          <c:idx val="3"/>
          <c:order val="3"/>
          <c:tx>
            <c:v>Site DC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Rawdata!$A$4:$A$14</c:f>
              <c:strCache/>
            </c:strRef>
          </c:cat>
          <c:val>
            <c:numRef>
              <c:f>Rawdata!$F$4:$F$14</c:f>
              <c:numCache/>
            </c:numRef>
          </c:val>
          <c:smooth val="0"/>
        </c:ser>
        <c:marker val="1"/>
        <c:axId val="47945146"/>
        <c:axId val="28853131"/>
      </c:lineChart>
      <c:catAx>
        <c:axId val="4794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853131"/>
        <c:crosses val="autoZero"/>
        <c:auto val="1"/>
        <c:lblOffset val="100"/>
        <c:noMultiLvlLbl val="0"/>
      </c:catAx>
      <c:valAx>
        <c:axId val="28853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NO3 (mg/L)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945146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4175"/>
          <c:y val="0.91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1997 Chatfield Reservoir 
Average Chlorophyll-a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2"/>
          <c:w val="0.87825"/>
          <c:h val="0.7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Res!$D$3:$D$13</c:f>
              <c:strCache/>
            </c:strRef>
          </c:cat>
          <c:val>
            <c:numRef>
              <c:f>Res!$C$3:$C$13</c:f>
              <c:numCache/>
            </c:numRef>
          </c:val>
          <c:smooth val="0"/>
        </c:ser>
        <c:marker val="1"/>
        <c:axId val="14635444"/>
        <c:axId val="64610133"/>
      </c:lineChart>
      <c:catAx>
        <c:axId val="146354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Chlorophyll-a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63544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3
 TP vs. Chlorophyll-a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5375"/>
          <c:w val="0.838"/>
          <c:h val="0.73675"/>
        </c:manualLayout>
      </c:layout>
      <c:barChart>
        <c:barDir val="col"/>
        <c:grouping val="clustered"/>
        <c:varyColors val="0"/>
        <c:ser>
          <c:idx val="1"/>
          <c:order val="0"/>
          <c:tx>
            <c:v>Chlorophyll-a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Res!$A$20:$A$34</c:f>
              <c:numCache/>
            </c:numRef>
          </c:cat>
          <c:val>
            <c:numRef>
              <c:f>Res!$B$20:$B$34</c:f>
              <c:numCache/>
            </c:numRef>
          </c:val>
        </c:ser>
        <c:axId val="44620286"/>
        <c:axId val="66038255"/>
      </c:barChart>
      <c:lineChart>
        <c:grouping val="standard"/>
        <c:varyColors val="0"/>
        <c:ser>
          <c:idx val="0"/>
          <c:order val="1"/>
          <c:tx>
            <c:v>TP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Res!$C$20:$C$34</c:f>
              <c:numCache/>
            </c:numRef>
          </c:val>
          <c:smooth val="0"/>
        </c:ser>
        <c:axId val="57473384"/>
        <c:axId val="47498409"/>
      </c:lineChart>
      <c:catAx>
        <c:axId val="446202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038255"/>
        <c:crosses val="autoZero"/>
        <c:auto val="0"/>
        <c:lblOffset val="100"/>
        <c:noMultiLvlLbl val="0"/>
      </c:catAx>
      <c:valAx>
        <c:axId val="66038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Chlorophyll-a (ug/L)</a:t>
                </a:r>
              </a:p>
            </c:rich>
          </c:tx>
          <c:layout>
            <c:manualLayout>
              <c:xMode val="factor"/>
              <c:yMode val="factor"/>
              <c:x val="-0.001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620286"/>
        <c:crossesAt val="1"/>
        <c:crossBetween val="between"/>
        <c:dispUnits/>
      </c:valAx>
      <c:catAx>
        <c:axId val="57473384"/>
        <c:scaling>
          <c:orientation val="minMax"/>
        </c:scaling>
        <c:axPos val="b"/>
        <c:delete val="1"/>
        <c:majorTickMark val="in"/>
        <c:minorTickMark val="none"/>
        <c:tickLblPos val="nextTo"/>
        <c:crossAx val="47498409"/>
        <c:crosses val="autoZero"/>
        <c:auto val="0"/>
        <c:lblOffset val="100"/>
        <c:noMultiLvlLbl val="0"/>
      </c:catAx>
      <c:valAx>
        <c:axId val="47498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TP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73384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11"/>
          <c:w val="0.39775"/>
          <c:h val="0.0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"/>
          <c:w val="0.875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Res!$D$38:$D$52</c:f>
              <c:numCache/>
            </c:numRef>
          </c:xVal>
          <c:yVal>
            <c:numRef>
              <c:f>Res!$E$38:$E$52</c:f>
              <c:numCache/>
            </c:numRef>
          </c:yVal>
          <c:smooth val="0"/>
        </c:ser>
        <c:axId val="24832498"/>
        <c:axId val="22165891"/>
      </c:scatterChart>
      <c:valAx>
        <c:axId val="24832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 Chlorophyll-a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65891"/>
        <c:crosses val="autoZero"/>
        <c:crossBetween val="midCat"/>
        <c:dispUnits/>
      </c:valAx>
      <c:valAx>
        <c:axId val="22165891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 Total Phosphorus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32498"/>
        <c:crosses val="autoZero"/>
        <c:crossBetween val="midCat"/>
        <c:dispUnits/>
        <c:majorUnit val="0.1"/>
        <c:minorUnit val="0.0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1997 Chatfield Reservoir
Total Nitrate Loading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825"/>
          <c:w val="0.9432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v>Site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Loading!$A$6:$A$16</c:f>
              <c:strCache/>
            </c:strRef>
          </c:cat>
          <c:val>
            <c:numRef>
              <c:f>Loading!$D$6:$D$16</c:f>
              <c:numCache/>
            </c:numRef>
          </c:val>
        </c:ser>
        <c:ser>
          <c:idx val="1"/>
          <c:order val="1"/>
          <c:tx>
            <c:v>Site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Loading!$A$6:$A$16</c:f>
              <c:strCache/>
            </c:strRef>
          </c:cat>
          <c:val>
            <c:numRef>
              <c:f>Loading!$F$6:$F$16</c:f>
              <c:numCache/>
            </c:numRef>
          </c:val>
        </c:ser>
        <c:axId val="65275292"/>
        <c:axId val="50606717"/>
      </c:barChart>
      <c:catAx>
        <c:axId val="652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606717"/>
        <c:crosses val="autoZero"/>
        <c:auto val="1"/>
        <c:lblOffset val="100"/>
        <c:noMultiLvlLbl val="0"/>
      </c:catAx>
      <c:valAx>
        <c:axId val="50606717"/>
        <c:scaling>
          <c:orientation val="minMax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275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
1997 Chatfield Reservoir
Total Phosphorus Loading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425"/>
          <c:w val="0.861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v>South Platte River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Loading!$A$25:$A$35</c:f>
              <c:strCache/>
            </c:strRef>
          </c:cat>
          <c:val>
            <c:numRef>
              <c:f>Loading!$D$25:$D$35</c:f>
              <c:numCache/>
            </c:numRef>
          </c:val>
        </c:ser>
        <c:ser>
          <c:idx val="1"/>
          <c:order val="1"/>
          <c:tx>
            <c:v>Plum Creek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Loading!$A$25:$A$35</c:f>
              <c:strCache/>
            </c:strRef>
          </c:cat>
          <c:val>
            <c:numRef>
              <c:f>Loading!$F$25:$F$35</c:f>
              <c:numCache/>
            </c:numRef>
          </c:val>
        </c:ser>
        <c:axId val="52807270"/>
        <c:axId val="5503383"/>
      </c:barChart>
      <c:catAx>
        <c:axId val="5280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03383"/>
        <c:crosses val="autoZero"/>
        <c:auto val="1"/>
        <c:lblOffset val="100"/>
        <c:noMultiLvlLbl val="0"/>
      </c:catAx>
      <c:valAx>
        <c:axId val="5503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TP (lbs/day)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807270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3575"/>
          <c:w val="0.5525"/>
          <c:h val="0.05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1997 Chatifeld 
Ammonia-Nitrogen Loading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715"/>
          <c:w val="0.93475"/>
          <c:h val="0.5685"/>
        </c:manualLayout>
      </c:layout>
      <c:barChart>
        <c:barDir val="col"/>
        <c:grouping val="clustered"/>
        <c:varyColors val="0"/>
        <c:ser>
          <c:idx val="0"/>
          <c:order val="0"/>
          <c:tx>
            <c:v>Site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Loading!$A$43:$A$53</c:f>
              <c:strCache/>
            </c:strRef>
          </c:cat>
          <c:val>
            <c:numRef>
              <c:f>Loading!$D$43:$D$53</c:f>
              <c:numCache/>
            </c:numRef>
          </c:val>
        </c:ser>
        <c:ser>
          <c:idx val="1"/>
          <c:order val="1"/>
          <c:tx>
            <c:v>Site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Loading!$A$43:$A$53</c:f>
              <c:strCache/>
            </c:strRef>
          </c:cat>
          <c:val>
            <c:numRef>
              <c:f>Loading!$F$43:$F$53</c:f>
              <c:numCache/>
            </c:numRef>
          </c:val>
        </c:ser>
        <c:axId val="49530448"/>
        <c:axId val="43120849"/>
      </c:bar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20849"/>
        <c:crosses val="autoZero"/>
        <c:auto val="1"/>
        <c:lblOffset val="100"/>
        <c:noMultiLvlLbl val="0"/>
      </c:catAx>
      <c:valAx>
        <c:axId val="43120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lbs/day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530448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1997 Chatfield 
TSS Loading</a:t>
            </a:r>
          </a:p>
        </c:rich>
      </c:tx>
      <c:layout>
        <c:manualLayout>
          <c:xMode val="factor"/>
          <c:yMode val="factor"/>
          <c:x val="0.04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5325"/>
          <c:w val="0.90125"/>
          <c:h val="0.63175"/>
        </c:manualLayout>
      </c:layout>
      <c:barChart>
        <c:barDir val="col"/>
        <c:grouping val="clustered"/>
        <c:varyColors val="0"/>
        <c:ser>
          <c:idx val="0"/>
          <c:order val="0"/>
          <c:tx>
            <c:v>Site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Loading!$A$61:$A$71</c:f>
              <c:strCache/>
            </c:strRef>
          </c:cat>
          <c:val>
            <c:numRef>
              <c:f>Loading!$D$61:$D$71</c:f>
              <c:numCache/>
            </c:numRef>
          </c:val>
        </c:ser>
        <c:ser>
          <c:idx val="1"/>
          <c:order val="1"/>
          <c:tx>
            <c:v>Site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Loading!$A$61:$A$71</c:f>
              <c:strCache/>
            </c:strRef>
          </c:cat>
          <c:val>
            <c:numRef>
              <c:f>Loading!$F$61:$F$71</c:f>
              <c:numCache/>
            </c:numRef>
          </c:val>
        </c:ser>
        <c:axId val="52543322"/>
        <c:axId val="3127851"/>
      </c:barChart>
      <c:catAx>
        <c:axId val="52543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127851"/>
        <c:crosses val="autoZero"/>
        <c:auto val="1"/>
        <c:lblOffset val="100"/>
        <c:noMultiLvlLbl val="0"/>
      </c:catAx>
      <c:valAx>
        <c:axId val="312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lbs/day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2543322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085"/>
          <c:y val="0.92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July 1997 
Phytoplankton</a:t>
            </a:r>
          </a:p>
        </c:rich>
      </c:tx>
      <c:layout>
        <c:manualLayout>
          <c:xMode val="factor"/>
          <c:yMode val="factor"/>
          <c:x val="0.349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55"/>
          <c:h val="0.91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9933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5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5">
                <a:fgClr>
                  <a:srgbClr val="FFCC99"/>
                </a:fgClr>
                <a:bgClr>
                  <a:srgbClr val="C0C0C0"/>
                </a:bgClr>
              </a:pattFill>
            </c:spPr>
          </c:dPt>
          <c:dPt>
            <c:idx val="6"/>
            <c:spPr>
              <a:pattFill prst="pct25">
                <a:fgClr>
                  <a:srgbClr val="000080"/>
                </a:fgClr>
                <a:bgClr>
                  <a:srgbClr val="C0C0C0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Phytoplank!$G$2:$G$8</c:f>
              <c:strCache/>
            </c:strRef>
          </c:cat>
          <c:val>
            <c:numRef>
              <c:f>Phytoplank!$H$2:$H$8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25"/>
          <c:y val="0.2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August 1997 
Phytoplankton</a:t>
            </a:r>
          </a:p>
        </c:rich>
      </c:tx>
      <c:layout>
        <c:manualLayout>
          <c:xMode val="factor"/>
          <c:yMode val="factor"/>
          <c:x val="0.34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53575"/>
          <c:h val="0.91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993300"/>
                </a:fgClr>
                <a:bgClr>
                  <a:srgbClr val="C0C0C0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Phytoplank!$G$2:$G$8</c:f>
              <c:strCache/>
            </c:strRef>
          </c:cat>
          <c:val>
            <c:numRef>
              <c:f>(Phytoplank!$I$2:$I$4,Phytoplank!$I$7)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75"/>
          <c:y val="0.47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September 1997 
Phytoplankton</a:t>
            </a:r>
          </a:p>
        </c:rich>
      </c:tx>
      <c:layout>
        <c:manualLayout>
          <c:xMode val="factor"/>
          <c:yMode val="factor"/>
          <c:x val="0.314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1075"/>
          <c:w val="0.53025"/>
          <c:h val="0.90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5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339966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5">
                <a:fgClr>
                  <a:srgbClr val="993300"/>
                </a:fgClr>
                <a:bgClr>
                  <a:srgbClr val="C0C0C0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Phytoplank!$G$2:$G$6</c:f>
              <c:strCache/>
            </c:strRef>
          </c:cat>
          <c:val>
            <c:numRef>
              <c:f>(Phytoplank!$J$2:$J$4,Phytoplank!$J$6)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"/>
          <c:y val="0.58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1997 Chatfield Reservoir 
Average Nitrate Concentrations</a:t>
            </a:r>
          </a:p>
        </c:rich>
      </c:tx>
      <c:layout>
        <c:manualLayout>
          <c:xMode val="factor"/>
          <c:yMode val="factor"/>
          <c:x val="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8875"/>
          <c:w val="0.87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Rawdata!$A$4:$A$14</c:f>
              <c:strCache/>
            </c:strRef>
          </c:cat>
          <c:val>
            <c:numRef>
              <c:f>Rawdata!$G$4:$G$14</c:f>
              <c:numCache/>
            </c:numRef>
          </c:val>
        </c:ser>
        <c:axId val="58351588"/>
        <c:axId val="55402245"/>
      </c:bar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5402245"/>
        <c:crosses val="autoZero"/>
        <c:auto val="1"/>
        <c:lblOffset val="100"/>
        <c:noMultiLvlLbl val="0"/>
      </c:catAx>
      <c:valAx>
        <c:axId val="55402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5158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1997 Chatfield Inflows 
Total Phosphorus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865"/>
          <c:w val="0.91275"/>
          <c:h val="0.67825"/>
        </c:manualLayout>
      </c:layout>
      <c:lineChart>
        <c:grouping val="standard"/>
        <c:varyColors val="0"/>
        <c:ser>
          <c:idx val="0"/>
          <c:order val="0"/>
          <c:tx>
            <c:v>Site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Rawdata!$A$20:$A$30</c:f>
              <c:strCache/>
            </c:strRef>
          </c:cat>
          <c:val>
            <c:numRef>
              <c:f>Rawdata!$C$20:$C$30</c:f>
              <c:numCache/>
            </c:numRef>
          </c:val>
          <c:smooth val="0"/>
        </c:ser>
        <c:ser>
          <c:idx val="1"/>
          <c:order val="1"/>
          <c:tx>
            <c:v>Site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Rawdata!$A$20:$A$30</c:f>
              <c:strCache/>
            </c:strRef>
          </c:cat>
          <c:val>
            <c:numRef>
              <c:f>Rawdata!$D$20:$D$30</c:f>
              <c:numCache/>
            </c:numRef>
          </c:val>
          <c:smooth val="0"/>
        </c:ser>
        <c:ser>
          <c:idx val="2"/>
          <c:order val="2"/>
          <c:tx>
            <c:v>Site 2C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Rawdata!$A$20:$A$30</c:f>
              <c:strCache/>
            </c:strRef>
          </c:cat>
          <c:val>
            <c:numRef>
              <c:f>Rawdata!$E$20:$E$30</c:f>
              <c:numCache/>
            </c:numRef>
          </c:val>
          <c:smooth val="0"/>
        </c:ser>
        <c:ser>
          <c:idx val="3"/>
          <c:order val="3"/>
          <c:tx>
            <c:v>Site DC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Rawdata!$A$20:$A$30</c:f>
              <c:strCache/>
            </c:strRef>
          </c:cat>
          <c:val>
            <c:numRef>
              <c:f>Rawdata!$F$20:$F$30</c:f>
              <c:numCache/>
            </c:numRef>
          </c:val>
          <c:smooth val="0"/>
        </c:ser>
        <c:marker val="1"/>
        <c:axId val="28858158"/>
        <c:axId val="58396831"/>
      </c:lineChart>
      <c:catAx>
        <c:axId val="28858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8396831"/>
        <c:crosses val="autoZero"/>
        <c:auto val="1"/>
        <c:lblOffset val="100"/>
        <c:noMultiLvlLbl val="0"/>
      </c:catAx>
      <c:valAx>
        <c:axId val="5839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TP (mg/L)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8858158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3775"/>
          <c:y val="0.9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1997 Chatfield Reservoir 
Total Phosphorus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94"/>
          <c:w val="0.875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Rawdata!$A$20:$A$30</c:f>
              <c:strCache/>
            </c:strRef>
          </c:cat>
          <c:val>
            <c:numRef>
              <c:f>Rawdata!$G$20:$G$30</c:f>
              <c:numCache/>
            </c:numRef>
          </c:val>
        </c:ser>
        <c:axId val="55809432"/>
        <c:axId val="32522841"/>
      </c:barChart>
      <c:catAx>
        <c:axId val="5580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522841"/>
        <c:crosses val="autoZero"/>
        <c:auto val="1"/>
        <c:lblOffset val="100"/>
        <c:noMultiLvlLbl val="0"/>
      </c:catAx>
      <c:valAx>
        <c:axId val="32522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TP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8094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1997 Chatfield Inflows 
Ammonia-Nitrate Concentrations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66"/>
          <c:w val="0.8765"/>
          <c:h val="0.69"/>
        </c:manualLayout>
      </c:layout>
      <c:lineChart>
        <c:grouping val="standard"/>
        <c:varyColors val="0"/>
        <c:ser>
          <c:idx val="0"/>
          <c:order val="0"/>
          <c:tx>
            <c:v>Site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Rawdata!$A$35:$A$45</c:f>
              <c:strCache/>
            </c:strRef>
          </c:cat>
          <c:val>
            <c:numRef>
              <c:f>Rawdata!$C$35:$C$45</c:f>
              <c:numCache/>
            </c:numRef>
          </c:val>
          <c:smooth val="0"/>
        </c:ser>
        <c:ser>
          <c:idx val="1"/>
          <c:order val="1"/>
          <c:tx>
            <c:v>Site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Rawdata!$A$35:$A$45</c:f>
              <c:strCache/>
            </c:strRef>
          </c:cat>
          <c:val>
            <c:numRef>
              <c:f>Rawdata!$D$35:$D$45</c:f>
              <c:numCache/>
            </c:numRef>
          </c:val>
          <c:smooth val="0"/>
        </c:ser>
        <c:ser>
          <c:idx val="2"/>
          <c:order val="2"/>
          <c:tx>
            <c:v>Site 2C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Rawdata!$A$35:$A$45</c:f>
              <c:strCache/>
            </c:strRef>
          </c:cat>
          <c:val>
            <c:numRef>
              <c:f>Rawdata!$E$35:$E$45</c:f>
              <c:numCache/>
            </c:numRef>
          </c:val>
          <c:smooth val="0"/>
        </c:ser>
        <c:ser>
          <c:idx val="3"/>
          <c:order val="3"/>
          <c:tx>
            <c:v>Site DC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Rawdata!$A$35:$A$45</c:f>
              <c:strCache/>
            </c:strRef>
          </c:cat>
          <c:val>
            <c:numRef>
              <c:f>Rawdata!$F$35:$F$45</c:f>
              <c:numCache/>
            </c:numRef>
          </c:val>
          <c:smooth val="0"/>
        </c:ser>
        <c:marker val="1"/>
        <c:axId val="24270114"/>
        <c:axId val="17104435"/>
      </c:lineChart>
      <c:catAx>
        <c:axId val="2427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04435"/>
        <c:crosses val="autoZero"/>
        <c:auto val="1"/>
        <c:lblOffset val="100"/>
        <c:noMultiLvlLbl val="0"/>
      </c:catAx>
      <c:valAx>
        <c:axId val="1710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NH3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270114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1225"/>
          <c:y val="0.90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1997 Chatfield Inflows 
TSS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6525"/>
          <c:w val="0.87925"/>
          <c:h val="0.69125"/>
        </c:manualLayout>
      </c:layout>
      <c:lineChart>
        <c:grouping val="standard"/>
        <c:varyColors val="0"/>
        <c:ser>
          <c:idx val="0"/>
          <c:order val="0"/>
          <c:tx>
            <c:v>Site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Rawdata!$A$50:$A$60</c:f>
              <c:strCache/>
            </c:strRef>
          </c:cat>
          <c:val>
            <c:numRef>
              <c:f>Rawdata!$C$50:$C$60</c:f>
              <c:numCache/>
            </c:numRef>
          </c:val>
          <c:smooth val="0"/>
        </c:ser>
        <c:ser>
          <c:idx val="1"/>
          <c:order val="1"/>
          <c:tx>
            <c:v>Site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Rawdata!$A$50:$A$60</c:f>
              <c:strCache/>
            </c:strRef>
          </c:cat>
          <c:val>
            <c:numRef>
              <c:f>Rawdata!$D$50:$D$60</c:f>
              <c:numCache/>
            </c:numRef>
          </c:val>
          <c:smooth val="0"/>
        </c:ser>
        <c:ser>
          <c:idx val="2"/>
          <c:order val="2"/>
          <c:tx>
            <c:v>Site 2C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Rawdata!$A$50:$A$60</c:f>
              <c:strCache/>
            </c:strRef>
          </c:cat>
          <c:val>
            <c:numRef>
              <c:f>Rawdata!$E$50:$E$60</c:f>
              <c:numCache/>
            </c:numRef>
          </c:val>
          <c:smooth val="0"/>
        </c:ser>
        <c:ser>
          <c:idx val="3"/>
          <c:order val="3"/>
          <c:tx>
            <c:v>Site DC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Rawdata!$A$50:$A$60</c:f>
              <c:strCache/>
            </c:strRef>
          </c:cat>
          <c:val>
            <c:numRef>
              <c:f>Rawdata!$F$50:$F$60</c:f>
              <c:numCache/>
            </c:numRef>
          </c:val>
          <c:smooth val="0"/>
        </c:ser>
        <c:marker val="1"/>
        <c:axId val="19722188"/>
        <c:axId val="43281965"/>
      </c:lineChart>
      <c:catAx>
        <c:axId val="1972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281965"/>
        <c:crosses val="autoZero"/>
        <c:auto val="1"/>
        <c:lblOffset val="100"/>
        <c:noMultiLvlLbl val="0"/>
      </c:catAx>
      <c:valAx>
        <c:axId val="43281965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TSS (g/m3)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722188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96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1997 Chatfield Reservoir 
TSS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565"/>
          <c:w val="0.875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Rawdata!$A$50:$A$60</c:f>
              <c:strCache/>
            </c:strRef>
          </c:cat>
          <c:val>
            <c:numRef>
              <c:f>Rawdata!$G$50:$G$60</c:f>
              <c:numCache/>
            </c:numRef>
          </c:val>
        </c:ser>
        <c:axId val="53993366"/>
        <c:axId val="16178247"/>
      </c:barChart>
      <c:catAx>
        <c:axId val="53993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78247"/>
        <c:crosses val="autoZero"/>
        <c:auto val="1"/>
        <c:lblOffset val="100"/>
        <c:noMultiLvlLbl val="0"/>
      </c:catAx>
      <c:valAx>
        <c:axId val="16178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TSS (g/m3)</a:t>
                </a:r>
              </a:p>
            </c:rich>
          </c:tx>
          <c:layout>
            <c:manualLayout>
              <c:xMode val="factor"/>
              <c:yMode val="factor"/>
              <c:x val="0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99336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Figure 5(a)
Walker's Annual TSI Values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5075"/>
          <c:w val="0.88725"/>
          <c:h val="0.751"/>
        </c:manualLayout>
      </c:layout>
      <c:lineChart>
        <c:grouping val="standard"/>
        <c:varyColors val="0"/>
        <c:ser>
          <c:idx val="0"/>
          <c:order val="0"/>
          <c:tx>
            <c:v>Walker TSI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Walker!$M$2:$T$2</c:f>
              <c:numCache/>
            </c:numRef>
          </c:cat>
          <c:val>
            <c:numRef>
              <c:f>Walker!$M$12:$T$12</c:f>
              <c:numCache/>
            </c:numRef>
          </c:val>
          <c:smooth val="0"/>
        </c:ser>
        <c:marker val="1"/>
        <c:axId val="11386496"/>
        <c:axId val="35369601"/>
      </c:lineChart>
      <c:catAx>
        <c:axId val="1138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35369601"/>
        <c:crosses val="autoZero"/>
        <c:auto val="1"/>
        <c:lblOffset val="100"/>
        <c:noMultiLvlLbl val="0"/>
      </c:catAx>
      <c:valAx>
        <c:axId val="35369601"/>
        <c:scaling>
          <c:orientation val="minMax"/>
          <c:max val="1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/>
            </a:pPr>
          </a:p>
        </c:txPr>
        <c:crossAx val="11386496"/>
        <c:crossesAt val="1"/>
        <c:crossBetween val="between"/>
        <c:dispUnits/>
      </c:valAx>
      <c:dTable>
        <c:showHorzBorder val="0"/>
        <c:showVertBorder val="1"/>
        <c:showOutline val="1"/>
        <c:showKeys val="0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Figure 5(b)
Walker's Seasonal TSI Values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5"/>
          <c:w val="0.97"/>
          <c:h val="0.7365"/>
        </c:manualLayout>
      </c:layout>
      <c:lineChart>
        <c:grouping val="standard"/>
        <c:varyColors val="0"/>
        <c:ser>
          <c:idx val="0"/>
          <c:order val="0"/>
          <c:tx>
            <c:v>Walker's Seasonal TSI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Walker!$N$16:$T$16</c:f>
              <c:numCache/>
            </c:numRef>
          </c:cat>
          <c:val>
            <c:numRef>
              <c:f>Walker!$N$26:$T$26</c:f>
              <c:numCache/>
            </c:numRef>
          </c:val>
          <c:smooth val="0"/>
        </c:ser>
        <c:marker val="1"/>
        <c:axId val="49890954"/>
        <c:axId val="46365403"/>
      </c:lineChart>
      <c:catAx>
        <c:axId val="498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890954"/>
        <c:crossesAt val="1"/>
        <c:crossBetween val="between"/>
        <c:dispUnits/>
        <c:majorUnit val="20"/>
        <c:minorUnit val="1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152400</xdr:rowOff>
    </xdr:from>
    <xdr:to>
      <xdr:col>13</xdr:col>
      <xdr:colOff>419100</xdr:colOff>
      <xdr:row>15</xdr:row>
      <xdr:rowOff>19050</xdr:rowOff>
    </xdr:to>
    <xdr:graphicFrame>
      <xdr:nvGraphicFramePr>
        <xdr:cNvPr id="1" name="Chart 2"/>
        <xdr:cNvGraphicFramePr/>
      </xdr:nvGraphicFramePr>
      <xdr:xfrm>
        <a:off x="5076825" y="152400"/>
        <a:ext cx="34480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0</xdr:row>
      <xdr:rowOff>152400</xdr:rowOff>
    </xdr:from>
    <xdr:to>
      <xdr:col>19</xdr:col>
      <xdr:colOff>419100</xdr:colOff>
      <xdr:row>15</xdr:row>
      <xdr:rowOff>28575</xdr:rowOff>
    </xdr:to>
    <xdr:graphicFrame>
      <xdr:nvGraphicFramePr>
        <xdr:cNvPr id="2" name="Chart 3"/>
        <xdr:cNvGraphicFramePr/>
      </xdr:nvGraphicFramePr>
      <xdr:xfrm>
        <a:off x="8734425" y="152400"/>
        <a:ext cx="34480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17</xdr:row>
      <xdr:rowOff>0</xdr:rowOff>
    </xdr:from>
    <xdr:to>
      <xdr:col>13</xdr:col>
      <xdr:colOff>390525</xdr:colOff>
      <xdr:row>31</xdr:row>
      <xdr:rowOff>66675</xdr:rowOff>
    </xdr:to>
    <xdr:graphicFrame>
      <xdr:nvGraphicFramePr>
        <xdr:cNvPr id="3" name="Chart 4"/>
        <xdr:cNvGraphicFramePr/>
      </xdr:nvGraphicFramePr>
      <xdr:xfrm>
        <a:off x="5019675" y="2752725"/>
        <a:ext cx="3476625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9525</xdr:colOff>
      <xdr:row>16</xdr:row>
      <xdr:rowOff>152400</xdr:rowOff>
    </xdr:from>
    <xdr:to>
      <xdr:col>19</xdr:col>
      <xdr:colOff>409575</xdr:colOff>
      <xdr:row>31</xdr:row>
      <xdr:rowOff>66675</xdr:rowOff>
    </xdr:to>
    <xdr:graphicFrame>
      <xdr:nvGraphicFramePr>
        <xdr:cNvPr id="4" name="Chart 5"/>
        <xdr:cNvGraphicFramePr/>
      </xdr:nvGraphicFramePr>
      <xdr:xfrm>
        <a:off x="8724900" y="2743200"/>
        <a:ext cx="344805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600075</xdr:colOff>
      <xdr:row>32</xdr:row>
      <xdr:rowOff>9525</xdr:rowOff>
    </xdr:from>
    <xdr:to>
      <xdr:col>13</xdr:col>
      <xdr:colOff>390525</xdr:colOff>
      <xdr:row>46</xdr:row>
      <xdr:rowOff>9525</xdr:rowOff>
    </xdr:to>
    <xdr:graphicFrame>
      <xdr:nvGraphicFramePr>
        <xdr:cNvPr id="5" name="Chart 6"/>
        <xdr:cNvGraphicFramePr/>
      </xdr:nvGraphicFramePr>
      <xdr:xfrm>
        <a:off x="5019675" y="5191125"/>
        <a:ext cx="34766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600075</xdr:colOff>
      <xdr:row>47</xdr:row>
      <xdr:rowOff>0</xdr:rowOff>
    </xdr:from>
    <xdr:to>
      <xdr:col>13</xdr:col>
      <xdr:colOff>390525</xdr:colOff>
      <xdr:row>61</xdr:row>
      <xdr:rowOff>9525</xdr:rowOff>
    </xdr:to>
    <xdr:graphicFrame>
      <xdr:nvGraphicFramePr>
        <xdr:cNvPr id="6" name="Chart 7"/>
        <xdr:cNvGraphicFramePr/>
      </xdr:nvGraphicFramePr>
      <xdr:xfrm>
        <a:off x="5019675" y="7610475"/>
        <a:ext cx="347662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581025</xdr:colOff>
      <xdr:row>47</xdr:row>
      <xdr:rowOff>0</xdr:rowOff>
    </xdr:from>
    <xdr:to>
      <xdr:col>19</xdr:col>
      <xdr:colOff>371475</xdr:colOff>
      <xdr:row>61</xdr:row>
      <xdr:rowOff>9525</xdr:rowOff>
    </xdr:to>
    <xdr:graphicFrame>
      <xdr:nvGraphicFramePr>
        <xdr:cNvPr id="7" name="Chart 8"/>
        <xdr:cNvGraphicFramePr/>
      </xdr:nvGraphicFramePr>
      <xdr:xfrm>
        <a:off x="8686800" y="7610475"/>
        <a:ext cx="3448050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50</xdr:row>
      <xdr:rowOff>161925</xdr:rowOff>
    </xdr:from>
    <xdr:to>
      <xdr:col>5</xdr:col>
      <xdr:colOff>428625</xdr:colOff>
      <xdr:row>62</xdr:row>
      <xdr:rowOff>161925</xdr:rowOff>
    </xdr:to>
    <xdr:graphicFrame>
      <xdr:nvGraphicFramePr>
        <xdr:cNvPr id="1" name="Chart 1"/>
        <xdr:cNvGraphicFramePr/>
      </xdr:nvGraphicFramePr>
      <xdr:xfrm>
        <a:off x="295275" y="8258175"/>
        <a:ext cx="31813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70</xdr:row>
      <xdr:rowOff>19050</xdr:rowOff>
    </xdr:from>
    <xdr:to>
      <xdr:col>5</xdr:col>
      <xdr:colOff>419100</xdr:colOff>
      <xdr:row>83</xdr:row>
      <xdr:rowOff>19050</xdr:rowOff>
    </xdr:to>
    <xdr:graphicFrame>
      <xdr:nvGraphicFramePr>
        <xdr:cNvPr id="2" name="Chart 2"/>
        <xdr:cNvGraphicFramePr/>
      </xdr:nvGraphicFramePr>
      <xdr:xfrm>
        <a:off x="209550" y="11353800"/>
        <a:ext cx="3257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142875</xdr:rowOff>
    </xdr:from>
    <xdr:to>
      <xdr:col>10</xdr:col>
      <xdr:colOff>409575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3257550" y="142875"/>
        <a:ext cx="34480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16</xdr:row>
      <xdr:rowOff>133350</xdr:rowOff>
    </xdr:from>
    <xdr:to>
      <xdr:col>10</xdr:col>
      <xdr:colOff>600075</xdr:colOff>
      <xdr:row>31</xdr:row>
      <xdr:rowOff>142875</xdr:rowOff>
    </xdr:to>
    <xdr:graphicFrame>
      <xdr:nvGraphicFramePr>
        <xdr:cNvPr id="2" name="Chart 2"/>
        <xdr:cNvGraphicFramePr/>
      </xdr:nvGraphicFramePr>
      <xdr:xfrm>
        <a:off x="3267075" y="2724150"/>
        <a:ext cx="36290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35</xdr:row>
      <xdr:rowOff>133350</xdr:rowOff>
    </xdr:from>
    <xdr:to>
      <xdr:col>11</xdr:col>
      <xdr:colOff>400050</xdr:colOff>
      <xdr:row>47</xdr:row>
      <xdr:rowOff>47625</xdr:rowOff>
    </xdr:to>
    <xdr:graphicFrame>
      <xdr:nvGraphicFramePr>
        <xdr:cNvPr id="3" name="Chart 4"/>
        <xdr:cNvGraphicFramePr/>
      </xdr:nvGraphicFramePr>
      <xdr:xfrm>
        <a:off x="3857625" y="5800725"/>
        <a:ext cx="34480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0</xdr:rowOff>
    </xdr:from>
    <xdr:to>
      <xdr:col>13</xdr:col>
      <xdr:colOff>409575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5600700" y="161925"/>
        <a:ext cx="34480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19</xdr:row>
      <xdr:rowOff>9525</xdr:rowOff>
    </xdr:from>
    <xdr:to>
      <xdr:col>13</xdr:col>
      <xdr:colOff>400050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5591175" y="3086100"/>
        <a:ext cx="3448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37</xdr:row>
      <xdr:rowOff>142875</xdr:rowOff>
    </xdr:from>
    <xdr:to>
      <xdr:col>13</xdr:col>
      <xdr:colOff>409575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5600700" y="6134100"/>
        <a:ext cx="34480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56</xdr:row>
      <xdr:rowOff>9525</xdr:rowOff>
    </xdr:from>
    <xdr:to>
      <xdr:col>13</xdr:col>
      <xdr:colOff>409575</xdr:colOff>
      <xdr:row>72</xdr:row>
      <xdr:rowOff>28575</xdr:rowOff>
    </xdr:to>
    <xdr:graphicFrame>
      <xdr:nvGraphicFramePr>
        <xdr:cNvPr id="4" name="Chart 4"/>
        <xdr:cNvGraphicFramePr/>
      </xdr:nvGraphicFramePr>
      <xdr:xfrm>
        <a:off x="5600700" y="9077325"/>
        <a:ext cx="3448050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142875</xdr:rowOff>
    </xdr:from>
    <xdr:to>
      <xdr:col>11</xdr:col>
      <xdr:colOff>133350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5286375" y="1600200"/>
        <a:ext cx="36671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23</xdr:row>
      <xdr:rowOff>0</xdr:rowOff>
    </xdr:from>
    <xdr:to>
      <xdr:col>11</xdr:col>
      <xdr:colOff>114300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5286375" y="3724275"/>
        <a:ext cx="36480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35</xdr:row>
      <xdr:rowOff>152400</xdr:rowOff>
    </xdr:from>
    <xdr:to>
      <xdr:col>11</xdr:col>
      <xdr:colOff>123825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5295900" y="5819775"/>
        <a:ext cx="36480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71">
      <selection activeCell="F15" sqref="F15"/>
    </sheetView>
  </sheetViews>
  <sheetFormatPr defaultColWidth="9.140625" defaultRowHeight="12.75"/>
  <cols>
    <col min="1" max="4" width="9.140625" style="74" customWidth="1"/>
    <col min="5" max="5" width="8.57421875" style="74" customWidth="1"/>
    <col min="6" max="6" width="9.140625" style="74" customWidth="1"/>
    <col min="7" max="7" width="12.00390625" style="74" bestFit="1" customWidth="1"/>
    <col min="8" max="8" width="9.57421875" style="74" bestFit="1" customWidth="1"/>
    <col min="9" max="16384" width="9.140625" style="74" customWidth="1"/>
  </cols>
  <sheetData>
    <row r="1" spans="1:7" ht="12.75">
      <c r="A1" s="72">
        <v>1997</v>
      </c>
      <c r="B1" s="73" t="s">
        <v>22</v>
      </c>
      <c r="C1" s="73"/>
      <c r="D1" s="73"/>
      <c r="E1" s="73"/>
      <c r="F1" s="113" t="s">
        <v>23</v>
      </c>
      <c r="G1" s="113"/>
    </row>
    <row r="2" spans="2:7" ht="12.75">
      <c r="B2" s="74" t="s">
        <v>11</v>
      </c>
      <c r="C2" s="74" t="s">
        <v>12</v>
      </c>
      <c r="D2" s="74" t="s">
        <v>13</v>
      </c>
      <c r="E2" s="74" t="s">
        <v>27</v>
      </c>
      <c r="F2" s="74" t="s">
        <v>14</v>
      </c>
      <c r="G2" s="74" t="s">
        <v>15</v>
      </c>
    </row>
    <row r="3" spans="2:7" ht="12.75">
      <c r="B3" s="74" t="s">
        <v>16</v>
      </c>
      <c r="C3" s="74" t="s">
        <v>20</v>
      </c>
      <c r="D3" s="74" t="s">
        <v>17</v>
      </c>
      <c r="E3" s="74" t="s">
        <v>18</v>
      </c>
      <c r="F3" s="74" t="s">
        <v>19</v>
      </c>
      <c r="G3" s="74" t="s">
        <v>21</v>
      </c>
    </row>
    <row r="4" spans="1:7" ht="12.75">
      <c r="A4" s="74" t="s">
        <v>0</v>
      </c>
      <c r="B4" s="75">
        <v>0.09</v>
      </c>
      <c r="C4" s="75">
        <v>0.205</v>
      </c>
      <c r="D4" s="75">
        <v>0.755</v>
      </c>
      <c r="E4" s="75">
        <v>0.63</v>
      </c>
      <c r="F4" s="75"/>
      <c r="G4" s="75">
        <v>4.55</v>
      </c>
    </row>
    <row r="5" spans="1:7" ht="12.75">
      <c r="A5" s="74" t="s">
        <v>1</v>
      </c>
      <c r="B5" s="75">
        <v>0.49</v>
      </c>
      <c r="C5" s="75">
        <v>0.01</v>
      </c>
      <c r="D5" s="75">
        <v>0.01</v>
      </c>
      <c r="E5" s="75"/>
      <c r="F5" s="75"/>
      <c r="G5" s="75">
        <v>0.05</v>
      </c>
    </row>
    <row r="6" spans="1:7" ht="12.75">
      <c r="A6" s="74" t="s">
        <v>2</v>
      </c>
      <c r="B6" s="75">
        <v>0.01</v>
      </c>
      <c r="C6" s="75">
        <v>0.06</v>
      </c>
      <c r="D6" s="75">
        <v>0.31</v>
      </c>
      <c r="E6" s="75">
        <v>0.25</v>
      </c>
      <c r="F6" s="75">
        <v>0.7667</v>
      </c>
      <c r="G6" s="75">
        <v>0.15</v>
      </c>
    </row>
    <row r="7" spans="1:7" ht="12.75">
      <c r="A7" s="74" t="s">
        <v>3</v>
      </c>
      <c r="B7" s="75">
        <v>0.01</v>
      </c>
      <c r="C7" s="75">
        <v>0.0725</v>
      </c>
      <c r="D7" s="75">
        <v>0.1775</v>
      </c>
      <c r="E7" s="75"/>
      <c r="F7" s="75">
        <v>0.4</v>
      </c>
      <c r="G7" s="75">
        <v>0.25</v>
      </c>
    </row>
    <row r="8" spans="1:7" ht="12.75">
      <c r="A8" s="74" t="s">
        <v>4</v>
      </c>
      <c r="B8" s="75">
        <v>0.01</v>
      </c>
      <c r="C8" s="75">
        <v>0.018333333333333333</v>
      </c>
      <c r="D8" s="75">
        <v>0.17</v>
      </c>
      <c r="E8" s="75"/>
      <c r="F8" s="75">
        <v>0.575</v>
      </c>
      <c r="G8" s="75">
        <v>0.25</v>
      </c>
    </row>
    <row r="9" spans="1:7" ht="12.75">
      <c r="A9" s="74" t="s">
        <v>5</v>
      </c>
      <c r="B9" s="75">
        <v>0.03</v>
      </c>
      <c r="C9" s="75">
        <v>0.06</v>
      </c>
      <c r="D9" s="75">
        <v>0.085</v>
      </c>
      <c r="E9" s="75"/>
      <c r="F9" s="75"/>
      <c r="G9" s="75">
        <v>0.233</v>
      </c>
    </row>
    <row r="10" spans="1:7" ht="12.75">
      <c r="A10" s="74" t="s">
        <v>6</v>
      </c>
      <c r="B10" s="75">
        <f>0.1/2</f>
        <v>0.05</v>
      </c>
      <c r="C10" s="75">
        <v>0.06666666666666667</v>
      </c>
      <c r="D10" s="75">
        <v>0.435</v>
      </c>
      <c r="E10" s="75"/>
      <c r="F10" s="75"/>
      <c r="G10" s="75">
        <v>0.314286</v>
      </c>
    </row>
    <row r="11" spans="1:7" ht="12.75">
      <c r="A11" s="74" t="s">
        <v>7</v>
      </c>
      <c r="B11" s="75">
        <v>0.01</v>
      </c>
      <c r="C11" s="75">
        <v>0.04</v>
      </c>
      <c r="D11" s="75">
        <v>0.17333333333333334</v>
      </c>
      <c r="E11" s="75">
        <v>0.05</v>
      </c>
      <c r="F11" s="75"/>
      <c r="G11" s="75">
        <v>0.271429</v>
      </c>
    </row>
    <row r="12" spans="1:7" ht="12.75">
      <c r="A12" s="74" t="s">
        <v>8</v>
      </c>
      <c r="B12" s="75">
        <v>0.01</v>
      </c>
      <c r="C12" s="75">
        <v>0.09</v>
      </c>
      <c r="D12" s="75">
        <v>0.04</v>
      </c>
      <c r="E12" s="75"/>
      <c r="F12" s="75"/>
      <c r="G12" s="75">
        <v>0.733</v>
      </c>
    </row>
    <row r="13" spans="1:7" ht="12.75">
      <c r="A13" s="74" t="s">
        <v>9</v>
      </c>
      <c r="B13" s="75">
        <v>0.01</v>
      </c>
      <c r="C13" s="75">
        <v>0.16</v>
      </c>
      <c r="D13" s="75">
        <v>0.64</v>
      </c>
      <c r="E13" s="75">
        <v>0.47</v>
      </c>
      <c r="F13" s="75"/>
      <c r="G13" s="75">
        <v>0.5</v>
      </c>
    </row>
    <row r="14" spans="1:7" ht="12.75">
      <c r="A14" s="74" t="s">
        <v>10</v>
      </c>
      <c r="B14" s="75">
        <v>0.01</v>
      </c>
      <c r="C14" s="75">
        <v>0.64</v>
      </c>
      <c r="D14" s="75">
        <v>0.33</v>
      </c>
      <c r="E14" s="75"/>
      <c r="F14" s="75"/>
      <c r="G14" s="75">
        <v>0.533</v>
      </c>
    </row>
    <row r="16" ht="12.75">
      <c r="F16" s="76"/>
    </row>
    <row r="17" spans="1:7" ht="12.75">
      <c r="A17" s="72">
        <v>1997</v>
      </c>
      <c r="B17" s="72" t="s">
        <v>24</v>
      </c>
      <c r="C17" s="72"/>
      <c r="D17" s="72"/>
      <c r="E17" s="72"/>
      <c r="F17" s="73"/>
      <c r="G17" s="73"/>
    </row>
    <row r="18" spans="2:7" ht="12.75">
      <c r="B18" s="74" t="s">
        <v>11</v>
      </c>
      <c r="C18" s="74" t="s">
        <v>12</v>
      </c>
      <c r="D18" s="74" t="s">
        <v>13</v>
      </c>
      <c r="E18" s="74" t="s">
        <v>27</v>
      </c>
      <c r="F18" s="74" t="s">
        <v>14</v>
      </c>
      <c r="G18" s="74" t="s">
        <v>15</v>
      </c>
    </row>
    <row r="19" spans="2:7" ht="12.75">
      <c r="B19" s="74" t="s">
        <v>16</v>
      </c>
      <c r="C19" s="74" t="s">
        <v>20</v>
      </c>
      <c r="D19" s="74" t="s">
        <v>17</v>
      </c>
      <c r="E19" s="74" t="s">
        <v>18</v>
      </c>
      <c r="F19" s="74" t="s">
        <v>19</v>
      </c>
      <c r="G19" s="74" t="s">
        <v>21</v>
      </c>
    </row>
    <row r="20" spans="1:7" ht="12.75">
      <c r="A20" s="74" t="s">
        <v>0</v>
      </c>
      <c r="B20" s="74">
        <v>0.018666666666666668</v>
      </c>
      <c r="C20" s="74">
        <v>0.0135</v>
      </c>
      <c r="D20" s="74">
        <v>0.0365</v>
      </c>
      <c r="E20" s="74">
        <v>0.018</v>
      </c>
      <c r="G20" s="74">
        <v>0.005791666666666667</v>
      </c>
    </row>
    <row r="21" spans="1:7" ht="12.75">
      <c r="A21" s="74" t="s">
        <v>1</v>
      </c>
      <c r="B21" s="74">
        <v>0.026</v>
      </c>
      <c r="C21" s="74">
        <v>0.014</v>
      </c>
      <c r="D21" s="74">
        <v>0.009</v>
      </c>
      <c r="G21" s="74">
        <v>0.01225</v>
      </c>
    </row>
    <row r="22" spans="1:7" ht="12.75">
      <c r="A22" s="74" t="s">
        <v>2</v>
      </c>
      <c r="B22" s="74">
        <v>0.009</v>
      </c>
      <c r="C22" s="74">
        <v>0.0255</v>
      </c>
      <c r="D22" s="74">
        <v>0.0598</v>
      </c>
      <c r="E22" s="74">
        <v>0.035</v>
      </c>
      <c r="F22" s="74">
        <v>0.06966666666666667</v>
      </c>
      <c r="G22" s="74">
        <v>0.006375</v>
      </c>
    </row>
    <row r="23" spans="1:7" ht="12.75">
      <c r="A23" s="74" t="s">
        <v>3</v>
      </c>
      <c r="B23" s="74">
        <v>0.032</v>
      </c>
      <c r="C23" s="74">
        <v>0.03175</v>
      </c>
      <c r="D23" s="74">
        <v>0.1315</v>
      </c>
      <c r="F23" s="74">
        <v>0.03</v>
      </c>
      <c r="G23" s="74">
        <v>0.023</v>
      </c>
    </row>
    <row r="24" spans="1:7" ht="12.75">
      <c r="A24" s="74" t="s">
        <v>4</v>
      </c>
      <c r="B24" s="74">
        <v>0.016</v>
      </c>
      <c r="C24" s="74">
        <v>0.04083333333333333</v>
      </c>
      <c r="D24" s="74">
        <v>0.0795</v>
      </c>
      <c r="F24" s="74">
        <v>0.036</v>
      </c>
      <c r="G24" s="74">
        <v>0.017</v>
      </c>
    </row>
    <row r="25" spans="1:7" ht="12.75">
      <c r="A25" s="74" t="s">
        <v>5</v>
      </c>
      <c r="B25" s="74">
        <v>0.028999999999999998</v>
      </c>
      <c r="C25" s="74">
        <v>0.021</v>
      </c>
      <c r="D25" s="74">
        <v>0.036</v>
      </c>
      <c r="G25" s="74">
        <v>0.018</v>
      </c>
    </row>
    <row r="26" spans="1:7" ht="12.75">
      <c r="A26" s="74" t="s">
        <v>6</v>
      </c>
      <c r="B26" s="74">
        <f>0.058/2</f>
        <v>0.029</v>
      </c>
      <c r="C26" s="74">
        <v>0.041666666666666664</v>
      </c>
      <c r="D26" s="74">
        <v>0.229</v>
      </c>
      <c r="G26" s="74">
        <v>0.016333333333333335</v>
      </c>
    </row>
    <row r="27" spans="1:7" ht="12.75">
      <c r="A27" s="74" t="s">
        <v>7</v>
      </c>
      <c r="B27" s="74">
        <v>0.010125</v>
      </c>
      <c r="C27" s="74">
        <v>0.2135</v>
      </c>
      <c r="D27" s="74">
        <v>0.05</v>
      </c>
      <c r="E27" s="74">
        <v>0.08</v>
      </c>
      <c r="G27" s="74">
        <v>0.0123125</v>
      </c>
    </row>
    <row r="28" spans="1:7" ht="12.75">
      <c r="A28" s="74" t="s">
        <v>8</v>
      </c>
      <c r="B28" s="74">
        <v>0.05</v>
      </c>
      <c r="C28" s="74">
        <v>0.005</v>
      </c>
      <c r="D28" s="74">
        <v>0.02</v>
      </c>
      <c r="G28" s="74">
        <v>0.006666666666666667</v>
      </c>
    </row>
    <row r="29" spans="1:7" ht="12.75">
      <c r="A29" s="74" t="s">
        <v>9</v>
      </c>
      <c r="B29" s="74">
        <v>0.01</v>
      </c>
      <c r="C29" s="74">
        <v>0.02</v>
      </c>
      <c r="D29" s="74">
        <v>0.04</v>
      </c>
      <c r="E29" s="74">
        <v>0.06</v>
      </c>
      <c r="G29" s="74">
        <v>0.0125</v>
      </c>
    </row>
    <row r="30" spans="1:7" ht="12.75">
      <c r="A30" s="74" t="s">
        <v>10</v>
      </c>
      <c r="B30" s="74">
        <v>0.05</v>
      </c>
      <c r="C30" s="74">
        <v>0.01</v>
      </c>
      <c r="D30" s="74">
        <v>0.07</v>
      </c>
      <c r="G30" s="74">
        <v>0.013333333333333334</v>
      </c>
    </row>
    <row r="32" spans="1:7" ht="12.75">
      <c r="A32" s="72">
        <v>1997</v>
      </c>
      <c r="B32" s="72" t="s">
        <v>25</v>
      </c>
      <c r="C32" s="72"/>
      <c r="D32" s="72"/>
      <c r="E32" s="72"/>
      <c r="F32" s="73"/>
      <c r="G32" s="73"/>
    </row>
    <row r="33" spans="2:6" ht="12.75">
      <c r="B33" s="74" t="s">
        <v>11</v>
      </c>
      <c r="C33" s="74" t="s">
        <v>12</v>
      </c>
      <c r="D33" s="74" t="s">
        <v>13</v>
      </c>
      <c r="E33" s="74" t="s">
        <v>27</v>
      </c>
      <c r="F33" s="74" t="s">
        <v>14</v>
      </c>
    </row>
    <row r="34" spans="2:6" ht="12.75">
      <c r="B34" s="74" t="s">
        <v>16</v>
      </c>
      <c r="C34" s="74" t="s">
        <v>20</v>
      </c>
      <c r="D34" s="74" t="s">
        <v>17</v>
      </c>
      <c r="E34" s="74" t="s">
        <v>18</v>
      </c>
      <c r="F34" s="74" t="s">
        <v>19</v>
      </c>
    </row>
    <row r="35" spans="1:7" ht="12.75">
      <c r="A35" s="74" t="s">
        <v>0</v>
      </c>
      <c r="B35" s="75">
        <v>0.025</v>
      </c>
      <c r="C35" s="75">
        <v>0.025</v>
      </c>
      <c r="D35" s="75">
        <v>0.025</v>
      </c>
      <c r="E35" s="75">
        <v>0.12</v>
      </c>
      <c r="F35" s="75"/>
      <c r="G35" s="2"/>
    </row>
    <row r="36" spans="1:7" ht="12.75">
      <c r="A36" s="74" t="s">
        <v>1</v>
      </c>
      <c r="B36" s="75">
        <v>0.025</v>
      </c>
      <c r="C36" s="75">
        <v>0.025</v>
      </c>
      <c r="D36" s="75">
        <v>0.05</v>
      </c>
      <c r="E36" s="75"/>
      <c r="F36" s="75"/>
      <c r="G36" s="2"/>
    </row>
    <row r="37" spans="1:6" ht="12.75">
      <c r="A37" s="74" t="s">
        <v>2</v>
      </c>
      <c r="B37" s="75">
        <v>0.025</v>
      </c>
      <c r="C37" s="75">
        <v>0.045</v>
      </c>
      <c r="D37" s="75">
        <v>0.048</v>
      </c>
      <c r="E37" s="75">
        <v>0.025</v>
      </c>
      <c r="F37" s="75">
        <v>0.03333333333333333</v>
      </c>
    </row>
    <row r="38" spans="1:6" ht="12.75">
      <c r="A38" s="74" t="s">
        <v>3</v>
      </c>
      <c r="B38" s="75">
        <v>0.025</v>
      </c>
      <c r="C38" s="75">
        <v>0.05625</v>
      </c>
      <c r="D38" s="75">
        <v>0.025</v>
      </c>
      <c r="E38" s="75"/>
      <c r="F38" s="75">
        <v>0.0475</v>
      </c>
    </row>
    <row r="39" spans="1:6" ht="12.75">
      <c r="A39" s="74" t="s">
        <v>4</v>
      </c>
      <c r="B39" s="75">
        <v>0.025</v>
      </c>
      <c r="C39" s="75">
        <v>0.04083333333333333</v>
      </c>
      <c r="D39" s="75">
        <v>0.05</v>
      </c>
      <c r="E39" s="75"/>
      <c r="F39" s="75">
        <v>0.06</v>
      </c>
    </row>
    <row r="40" spans="1:6" ht="12.75">
      <c r="A40" s="74" t="s">
        <v>5</v>
      </c>
      <c r="B40" s="75">
        <v>0.025</v>
      </c>
      <c r="C40" s="75">
        <v>0.025</v>
      </c>
      <c r="D40" s="75">
        <v>0.105</v>
      </c>
      <c r="E40" s="75"/>
      <c r="F40" s="75"/>
    </row>
    <row r="41" spans="1:6" ht="12.75">
      <c r="A41" s="74" t="s">
        <v>6</v>
      </c>
      <c r="B41" s="75">
        <v>0.0625</v>
      </c>
      <c r="C41" s="75">
        <v>0.04</v>
      </c>
      <c r="D41" s="75">
        <v>0.0475</v>
      </c>
      <c r="E41" s="75"/>
      <c r="F41" s="75"/>
    </row>
    <row r="42" spans="1:6" ht="12.75">
      <c r="A42" s="74" t="s">
        <v>7</v>
      </c>
      <c r="B42" s="75">
        <v>0.06</v>
      </c>
      <c r="C42" s="75">
        <v>0.0725</v>
      </c>
      <c r="D42" s="75">
        <v>0.065</v>
      </c>
      <c r="E42" s="75">
        <v>0.06</v>
      </c>
      <c r="F42" s="75"/>
    </row>
    <row r="43" spans="1:6" ht="12.75">
      <c r="A43" s="74" t="s">
        <v>8</v>
      </c>
      <c r="B43" s="75">
        <v>0.1</v>
      </c>
      <c r="C43" s="75">
        <v>0.01</v>
      </c>
      <c r="D43" s="75">
        <v>0.025</v>
      </c>
      <c r="E43" s="75"/>
      <c r="F43" s="75"/>
    </row>
    <row r="44" spans="1:6" ht="12.75">
      <c r="A44" s="74" t="s">
        <v>9</v>
      </c>
      <c r="B44" s="75">
        <v>0.07</v>
      </c>
      <c r="C44" s="75">
        <v>0.09</v>
      </c>
      <c r="D44" s="75">
        <v>0.09</v>
      </c>
      <c r="E44" s="75">
        <v>0.11</v>
      </c>
      <c r="F44" s="75"/>
    </row>
    <row r="45" spans="1:6" ht="12.75">
      <c r="A45" s="74" t="s">
        <v>10</v>
      </c>
      <c r="B45" s="75">
        <v>0.06</v>
      </c>
      <c r="C45" s="75">
        <v>0.06</v>
      </c>
      <c r="D45" s="75">
        <v>0.075</v>
      </c>
      <c r="E45" s="75"/>
      <c r="F45" s="75"/>
    </row>
    <row r="47" spans="1:7" ht="12.75">
      <c r="A47" s="72">
        <v>1997</v>
      </c>
      <c r="B47" s="72" t="s">
        <v>26</v>
      </c>
      <c r="C47" s="72"/>
      <c r="D47" s="72"/>
      <c r="E47" s="72"/>
      <c r="F47" s="73"/>
      <c r="G47" s="73"/>
    </row>
    <row r="48" spans="2:7" ht="12.75">
      <c r="B48" s="74" t="s">
        <v>11</v>
      </c>
      <c r="C48" s="74" t="s">
        <v>12</v>
      </c>
      <c r="D48" s="74" t="s">
        <v>13</v>
      </c>
      <c r="E48" s="74" t="s">
        <v>27</v>
      </c>
      <c r="F48" s="74" t="s">
        <v>14</v>
      </c>
      <c r="G48" s="74" t="s">
        <v>15</v>
      </c>
    </row>
    <row r="49" spans="2:7" ht="12.75">
      <c r="B49" s="74" t="s">
        <v>16</v>
      </c>
      <c r="C49" s="74" t="s">
        <v>20</v>
      </c>
      <c r="D49" s="74" t="s">
        <v>17</v>
      </c>
      <c r="E49" s="74" t="s">
        <v>18</v>
      </c>
      <c r="F49" s="74" t="s">
        <v>19</v>
      </c>
      <c r="G49" s="74" t="s">
        <v>21</v>
      </c>
    </row>
    <row r="50" spans="1:7" ht="12.75">
      <c r="A50" s="74" t="s">
        <v>0</v>
      </c>
      <c r="B50" s="77">
        <v>9</v>
      </c>
      <c r="C50" s="77">
        <v>5.25</v>
      </c>
      <c r="D50" s="77">
        <v>15</v>
      </c>
      <c r="E50" s="77">
        <v>2.5</v>
      </c>
      <c r="F50" s="77"/>
      <c r="G50" s="3">
        <v>2.5</v>
      </c>
    </row>
    <row r="51" spans="1:7" ht="12.75">
      <c r="A51" s="74" t="s">
        <v>1</v>
      </c>
      <c r="B51" s="77">
        <v>10</v>
      </c>
      <c r="C51" s="77">
        <v>2.5</v>
      </c>
      <c r="D51" s="77">
        <v>798</v>
      </c>
      <c r="E51" s="77"/>
      <c r="F51" s="77"/>
      <c r="G51" s="3">
        <v>3.875</v>
      </c>
    </row>
    <row r="52" spans="1:7" ht="12.75">
      <c r="A52" s="74" t="s">
        <v>2</v>
      </c>
      <c r="B52" s="77">
        <v>2.5</v>
      </c>
      <c r="C52" s="77">
        <v>2.5</v>
      </c>
      <c r="D52" s="77">
        <v>48.4</v>
      </c>
      <c r="E52" s="77">
        <v>2.5</v>
      </c>
      <c r="F52" s="77">
        <v>55.5</v>
      </c>
      <c r="G52" s="77">
        <v>4.4</v>
      </c>
    </row>
    <row r="53" spans="1:7" ht="12.75">
      <c r="A53" s="74" t="s">
        <v>3</v>
      </c>
      <c r="B53" s="77">
        <v>2.5</v>
      </c>
      <c r="C53" s="77">
        <v>2.5</v>
      </c>
      <c r="D53" s="77">
        <v>45.125</v>
      </c>
      <c r="E53" s="77"/>
      <c r="F53" s="77">
        <v>15</v>
      </c>
      <c r="G53" s="77">
        <v>4.75</v>
      </c>
    </row>
    <row r="54" spans="1:7" ht="12.75">
      <c r="A54" s="74" t="s">
        <v>4</v>
      </c>
      <c r="B54" s="77">
        <v>2.5</v>
      </c>
      <c r="C54" s="77">
        <v>25.333333333333332</v>
      </c>
      <c r="D54" s="77">
        <v>57.5</v>
      </c>
      <c r="E54" s="77"/>
      <c r="F54" s="77">
        <v>11.375</v>
      </c>
      <c r="G54" s="77">
        <v>2.5</v>
      </c>
    </row>
    <row r="55" spans="1:7" ht="12.75">
      <c r="A55" s="74" t="s">
        <v>5</v>
      </c>
      <c r="B55" s="77">
        <v>2.5</v>
      </c>
      <c r="C55" s="77">
        <v>3.6666666666666665</v>
      </c>
      <c r="D55" s="77">
        <v>2.5</v>
      </c>
      <c r="E55" s="77"/>
      <c r="F55" s="77"/>
      <c r="G55" s="77">
        <v>3.0833333333333335</v>
      </c>
    </row>
    <row r="56" spans="1:7" ht="12.75">
      <c r="A56" s="74" t="s">
        <v>6</v>
      </c>
      <c r="B56" s="77">
        <v>2.5</v>
      </c>
      <c r="C56" s="77">
        <v>13.5</v>
      </c>
      <c r="D56" s="77">
        <v>135</v>
      </c>
      <c r="E56" s="77"/>
      <c r="F56" s="77"/>
      <c r="G56" s="77">
        <v>5.285714285714286</v>
      </c>
    </row>
    <row r="57" spans="1:7" ht="12.75">
      <c r="A57" s="74" t="s">
        <v>7</v>
      </c>
      <c r="B57" s="77">
        <v>11.25</v>
      </c>
      <c r="C57" s="77">
        <v>130</v>
      </c>
      <c r="D57" s="77">
        <v>50.25</v>
      </c>
      <c r="E57" s="77">
        <v>14</v>
      </c>
      <c r="F57" s="77"/>
      <c r="G57" s="77">
        <v>6.071428571428571</v>
      </c>
    </row>
    <row r="58" spans="1:7" ht="12.75">
      <c r="A58" s="74" t="s">
        <v>8</v>
      </c>
      <c r="B58" s="77">
        <v>8</v>
      </c>
      <c r="C58" s="77">
        <v>8</v>
      </c>
      <c r="D58" s="77">
        <v>2.5</v>
      </c>
      <c r="E58" s="77"/>
      <c r="F58" s="77"/>
      <c r="G58" s="77">
        <v>5</v>
      </c>
    </row>
    <row r="59" spans="1:7" ht="12.75">
      <c r="A59" s="74" t="s">
        <v>9</v>
      </c>
      <c r="B59" s="77">
        <v>8</v>
      </c>
      <c r="C59" s="77">
        <v>18</v>
      </c>
      <c r="D59" s="77">
        <v>30</v>
      </c>
      <c r="E59" s="77">
        <v>50</v>
      </c>
      <c r="F59" s="77"/>
      <c r="G59" s="77">
        <v>10.5</v>
      </c>
    </row>
    <row r="60" spans="1:7" ht="12.75">
      <c r="A60" s="74" t="s">
        <v>10</v>
      </c>
      <c r="B60" s="77">
        <v>2.5</v>
      </c>
      <c r="C60" s="77">
        <v>2.5</v>
      </c>
      <c r="D60" s="77">
        <v>49</v>
      </c>
      <c r="E60" s="77"/>
      <c r="F60" s="77"/>
      <c r="G60" s="77">
        <v>5</v>
      </c>
    </row>
    <row r="63" spans="1:7" ht="12.75">
      <c r="A63" s="72">
        <v>1997</v>
      </c>
      <c r="B63" s="72" t="s">
        <v>28</v>
      </c>
      <c r="C63" s="72"/>
      <c r="D63" s="72"/>
      <c r="E63" s="72"/>
      <c r="F63" s="73"/>
      <c r="G63" s="73"/>
    </row>
    <row r="64" spans="2:6" ht="12.75">
      <c r="B64" s="74" t="s">
        <v>11</v>
      </c>
      <c r="C64" s="74" t="s">
        <v>12</v>
      </c>
      <c r="D64" s="74" t="s">
        <v>13</v>
      </c>
      <c r="E64" s="74" t="s">
        <v>27</v>
      </c>
      <c r="F64" s="74" t="s">
        <v>15</v>
      </c>
    </row>
    <row r="65" spans="2:6" ht="12.75">
      <c r="B65" s="74" t="s">
        <v>16</v>
      </c>
      <c r="C65" s="74" t="s">
        <v>20</v>
      </c>
      <c r="D65" s="74" t="s">
        <v>17</v>
      </c>
      <c r="E65" s="74" t="s">
        <v>18</v>
      </c>
      <c r="F65" s="74" t="s">
        <v>21</v>
      </c>
    </row>
    <row r="66" spans="1:6" ht="12.75">
      <c r="A66" s="74" t="s">
        <v>0</v>
      </c>
      <c r="B66" s="77">
        <v>0.5</v>
      </c>
      <c r="C66" s="77">
        <v>1.5</v>
      </c>
      <c r="D66" s="77">
        <v>17</v>
      </c>
      <c r="E66" s="77">
        <v>2</v>
      </c>
      <c r="F66" s="74">
        <v>0.5</v>
      </c>
    </row>
    <row r="67" spans="1:6" ht="12.75">
      <c r="A67" s="74" t="s">
        <v>1</v>
      </c>
      <c r="B67" s="77">
        <v>0.5</v>
      </c>
      <c r="C67" s="77">
        <v>17</v>
      </c>
      <c r="D67" s="77">
        <v>5</v>
      </c>
      <c r="E67" s="77"/>
      <c r="F67" s="4">
        <v>0.5</v>
      </c>
    </row>
    <row r="68" spans="1:6" ht="12.75">
      <c r="A68" s="74" t="s">
        <v>2</v>
      </c>
      <c r="B68" s="77">
        <v>0.5</v>
      </c>
      <c r="C68" s="77">
        <v>1</v>
      </c>
      <c r="D68" s="77">
        <v>25</v>
      </c>
      <c r="E68" s="77">
        <v>7</v>
      </c>
      <c r="F68" s="77">
        <v>1.575</v>
      </c>
    </row>
    <row r="69" spans="1:6" ht="12.75">
      <c r="A69" s="74" t="s">
        <v>3</v>
      </c>
      <c r="B69" s="77">
        <v>5</v>
      </c>
      <c r="C69" s="77">
        <v>9</v>
      </c>
      <c r="D69" s="77">
        <v>195</v>
      </c>
      <c r="E69" s="77"/>
      <c r="F69" s="77">
        <v>1</v>
      </c>
    </row>
    <row r="70" spans="1:6" ht="12.75">
      <c r="A70" s="74" t="s">
        <v>4</v>
      </c>
      <c r="B70" s="77">
        <v>3</v>
      </c>
      <c r="C70" s="77">
        <v>32</v>
      </c>
      <c r="D70" s="77">
        <v>430</v>
      </c>
      <c r="E70" s="77"/>
      <c r="F70" s="77">
        <v>2.5</v>
      </c>
    </row>
    <row r="71" spans="1:6" ht="12.75">
      <c r="A71" s="74" t="s">
        <v>5</v>
      </c>
      <c r="B71" s="77">
        <v>4</v>
      </c>
      <c r="C71" s="77">
        <v>68</v>
      </c>
      <c r="D71" s="77">
        <v>7300</v>
      </c>
      <c r="E71" s="77"/>
      <c r="F71" s="77">
        <v>0.6666666666666666</v>
      </c>
    </row>
    <row r="72" spans="1:6" ht="12.75">
      <c r="A72" s="74" t="s">
        <v>6</v>
      </c>
      <c r="B72" s="77">
        <v>13</v>
      </c>
      <c r="C72" s="77">
        <v>86</v>
      </c>
      <c r="D72" s="77">
        <v>2500</v>
      </c>
      <c r="E72" s="77"/>
      <c r="F72" s="3">
        <v>6.25</v>
      </c>
    </row>
    <row r="73" spans="1:6" ht="12.75">
      <c r="A73" s="74" t="s">
        <v>7</v>
      </c>
      <c r="B73" s="77">
        <v>19</v>
      </c>
      <c r="C73" s="77">
        <v>190</v>
      </c>
      <c r="D73" s="77">
        <v>240</v>
      </c>
      <c r="E73" s="77"/>
      <c r="F73" s="77">
        <v>1.375</v>
      </c>
    </row>
    <row r="74" spans="1:6" ht="12.75">
      <c r="A74" s="74" t="s">
        <v>8</v>
      </c>
      <c r="B74" s="77">
        <v>16</v>
      </c>
      <c r="C74" s="77">
        <v>17</v>
      </c>
      <c r="D74" s="77">
        <v>23</v>
      </c>
      <c r="E74" s="77"/>
      <c r="F74" s="77">
        <v>2.8</v>
      </c>
    </row>
    <row r="75" spans="1:6" ht="12.75">
      <c r="A75" s="74" t="s">
        <v>9</v>
      </c>
      <c r="B75" s="77">
        <v>1</v>
      </c>
      <c r="C75" s="77">
        <v>1</v>
      </c>
      <c r="D75" s="77">
        <v>28</v>
      </c>
      <c r="E75" s="77">
        <v>98</v>
      </c>
      <c r="F75" s="77">
        <v>1.625</v>
      </c>
    </row>
    <row r="76" spans="1:6" ht="12.75">
      <c r="A76" s="74" t="s">
        <v>10</v>
      </c>
      <c r="B76" s="77">
        <v>2</v>
      </c>
      <c r="C76" s="77">
        <v>2</v>
      </c>
      <c r="D76" s="77">
        <v>21</v>
      </c>
      <c r="E76" s="77"/>
      <c r="F76" s="77">
        <v>5.333333333333333</v>
      </c>
    </row>
    <row r="79" spans="1:7" ht="12.75">
      <c r="A79" s="72">
        <v>1997</v>
      </c>
      <c r="B79" s="72" t="s">
        <v>29</v>
      </c>
      <c r="C79" s="72" t="s">
        <v>33</v>
      </c>
      <c r="D79" s="72"/>
      <c r="E79" s="72"/>
      <c r="F79" s="73"/>
      <c r="G79" s="73"/>
    </row>
    <row r="80" spans="2:4" ht="12.75">
      <c r="B80" s="74" t="s">
        <v>11</v>
      </c>
      <c r="C80" s="74" t="s">
        <v>12</v>
      </c>
      <c r="D80" s="74" t="s">
        <v>13</v>
      </c>
    </row>
    <row r="81" spans="2:4" ht="12.75">
      <c r="B81" s="74" t="s">
        <v>16</v>
      </c>
      <c r="C81" s="74" t="s">
        <v>20</v>
      </c>
      <c r="D81" s="74" t="s">
        <v>17</v>
      </c>
    </row>
    <row r="82" spans="1:7" ht="12.75">
      <c r="A82" s="74" t="s">
        <v>0</v>
      </c>
      <c r="B82" s="5">
        <f>90.4/2</f>
        <v>45.2</v>
      </c>
      <c r="C82" s="5">
        <f>94.1/2</f>
        <v>47.05</v>
      </c>
      <c r="D82" s="5">
        <v>9.5</v>
      </c>
      <c r="E82" s="2"/>
      <c r="F82" s="2"/>
      <c r="G82" s="2"/>
    </row>
    <row r="83" spans="1:7" ht="12.75">
      <c r="A83" s="74" t="s">
        <v>1</v>
      </c>
      <c r="B83" s="74">
        <v>38.6</v>
      </c>
      <c r="C83" s="5">
        <v>37.4</v>
      </c>
      <c r="D83" s="5">
        <v>22</v>
      </c>
      <c r="E83" s="2"/>
      <c r="F83" s="2"/>
      <c r="G83" s="2"/>
    </row>
    <row r="84" spans="1:7" ht="12.75">
      <c r="A84" s="74" t="s">
        <v>2</v>
      </c>
      <c r="B84" s="5">
        <v>10</v>
      </c>
      <c r="C84" s="5">
        <f>121.1/4</f>
        <v>30.275</v>
      </c>
      <c r="D84" s="5">
        <f>352.4/4</f>
        <v>88.1</v>
      </c>
      <c r="E84" s="5"/>
      <c r="F84" s="5"/>
      <c r="G84" s="5"/>
    </row>
    <row r="85" spans="1:7" ht="12.75">
      <c r="A85" s="74" t="s">
        <v>3</v>
      </c>
      <c r="B85" s="5">
        <v>151</v>
      </c>
      <c r="C85" s="5">
        <f>157.7/4</f>
        <v>39.425</v>
      </c>
      <c r="D85" s="5">
        <f>361.1/3</f>
        <v>120.36666666666667</v>
      </c>
      <c r="E85" s="5"/>
      <c r="F85" s="5"/>
      <c r="G85" s="5"/>
    </row>
    <row r="86" spans="1:7" ht="12.75">
      <c r="A86" s="74" t="s">
        <v>4</v>
      </c>
      <c r="B86" s="5">
        <v>771</v>
      </c>
      <c r="C86" s="5">
        <v>636.6666666666666</v>
      </c>
      <c r="D86" s="5">
        <f>145.9/4</f>
        <v>36.475</v>
      </c>
      <c r="E86" s="5"/>
      <c r="F86" s="5"/>
      <c r="G86" s="5"/>
    </row>
    <row r="87" spans="1:7" ht="12.75">
      <c r="A87" s="74" t="s">
        <v>5</v>
      </c>
      <c r="B87" s="5">
        <v>375</v>
      </c>
      <c r="C87" s="5">
        <v>454.6666666666667</v>
      </c>
      <c r="D87" s="5">
        <v>0.62</v>
      </c>
      <c r="E87" s="5"/>
      <c r="F87" s="5"/>
      <c r="G87" s="5"/>
    </row>
    <row r="88" spans="1:7" ht="12.75">
      <c r="A88" s="74" t="s">
        <v>6</v>
      </c>
      <c r="B88" s="5">
        <v>425</v>
      </c>
      <c r="C88" s="5">
        <v>509</v>
      </c>
      <c r="D88" s="5">
        <f>53.3/2</f>
        <v>26.65</v>
      </c>
      <c r="E88" s="5"/>
      <c r="F88" s="5"/>
      <c r="G88" s="5"/>
    </row>
    <row r="89" spans="1:7" ht="12.75">
      <c r="A89" s="74" t="s">
        <v>7</v>
      </c>
      <c r="B89" s="5">
        <v>150</v>
      </c>
      <c r="C89" s="5">
        <f>105.7/2</f>
        <v>52.85</v>
      </c>
      <c r="D89" s="5">
        <v>1.5</v>
      </c>
      <c r="E89" s="5"/>
      <c r="F89" s="5"/>
      <c r="G89" s="5"/>
    </row>
    <row r="90" spans="1:7" ht="12.75">
      <c r="A90" s="74" t="s">
        <v>8</v>
      </c>
      <c r="B90" s="5">
        <v>31</v>
      </c>
      <c r="C90" s="5">
        <v>45.8</v>
      </c>
      <c r="D90" s="5">
        <v>0.7</v>
      </c>
      <c r="E90" s="5"/>
      <c r="F90" s="5"/>
      <c r="G90" s="5"/>
    </row>
    <row r="91" spans="1:7" ht="12.75">
      <c r="A91" s="74" t="s">
        <v>9</v>
      </c>
      <c r="B91" s="5">
        <v>27</v>
      </c>
      <c r="C91" s="5">
        <v>32.4</v>
      </c>
      <c r="D91" s="5">
        <v>31.7</v>
      </c>
      <c r="E91" s="5"/>
      <c r="F91" s="5"/>
      <c r="G91" s="5"/>
    </row>
    <row r="92" spans="1:7" ht="12.75">
      <c r="A92" s="74" t="s">
        <v>10</v>
      </c>
      <c r="B92" s="5">
        <v>66</v>
      </c>
      <c r="C92" s="5">
        <v>37.4</v>
      </c>
      <c r="D92" s="5">
        <v>47.3</v>
      </c>
      <c r="E92" s="5"/>
      <c r="F92" s="5"/>
      <c r="G92" s="5"/>
    </row>
    <row r="93" spans="6:9" ht="12.75">
      <c r="F93" s="74" t="s">
        <v>285</v>
      </c>
      <c r="G93" s="74" t="s">
        <v>283</v>
      </c>
      <c r="H93" s="74" t="s">
        <v>283</v>
      </c>
      <c r="I93" s="74" t="s">
        <v>284</v>
      </c>
    </row>
    <row r="94" spans="1:9" ht="12.75">
      <c r="A94" s="74" t="s">
        <v>0</v>
      </c>
      <c r="B94" s="72">
        <f>+B82*1.983</f>
        <v>89.6316</v>
      </c>
      <c r="C94" s="72">
        <f>+C82*1.983</f>
        <v>93.30015</v>
      </c>
      <c r="D94" s="72">
        <f>+D82*1.983</f>
        <v>18.8385</v>
      </c>
      <c r="E94" s="74" t="s">
        <v>0</v>
      </c>
      <c r="F94" s="102">
        <f>+B94*28</f>
        <v>2509.6848</v>
      </c>
      <c r="G94" s="103">
        <f>+C94*28</f>
        <v>2612.4042</v>
      </c>
      <c r="H94" s="103">
        <f>+D94*28</f>
        <v>527.478</v>
      </c>
      <c r="I94" s="103">
        <f>SUM(G94:H94)</f>
        <v>3139.8822</v>
      </c>
    </row>
    <row r="95" spans="1:9" ht="12.75">
      <c r="A95" s="74" t="s">
        <v>1</v>
      </c>
      <c r="B95" s="72">
        <f aca="true" t="shared" si="0" ref="B95:D104">+B83*1.983</f>
        <v>76.5438</v>
      </c>
      <c r="C95" s="72">
        <f t="shared" si="0"/>
        <v>74.1642</v>
      </c>
      <c r="D95" s="72">
        <f t="shared" si="0"/>
        <v>43.626000000000005</v>
      </c>
      <c r="E95" s="74" t="s">
        <v>1</v>
      </c>
      <c r="F95" s="102">
        <f>+B95*31</f>
        <v>2372.8578</v>
      </c>
      <c r="G95" s="103">
        <f>+C95*31</f>
        <v>2299.0901999999996</v>
      </c>
      <c r="H95" s="103">
        <f>+D95*31</f>
        <v>1352.4060000000002</v>
      </c>
      <c r="I95" s="103">
        <f aca="true" t="shared" si="1" ref="I95:I104">SUM(G95:H95)</f>
        <v>3651.4961999999996</v>
      </c>
    </row>
    <row r="96" spans="1:9" ht="12.75">
      <c r="A96" s="74" t="s">
        <v>2</v>
      </c>
      <c r="B96" s="72">
        <f t="shared" si="0"/>
        <v>19.830000000000002</v>
      </c>
      <c r="C96" s="72">
        <f t="shared" si="0"/>
        <v>60.035325</v>
      </c>
      <c r="D96" s="72">
        <f t="shared" si="0"/>
        <v>174.7023</v>
      </c>
      <c r="E96" s="74" t="s">
        <v>2</v>
      </c>
      <c r="F96" s="102">
        <f>+B96*30</f>
        <v>594.9000000000001</v>
      </c>
      <c r="G96" s="103">
        <f>+C96*30</f>
        <v>1801.05975</v>
      </c>
      <c r="H96" s="103">
        <f>+D96*30</f>
        <v>5241.069</v>
      </c>
      <c r="I96" s="103">
        <f t="shared" si="1"/>
        <v>7042.12875</v>
      </c>
    </row>
    <row r="97" spans="1:9" ht="12.75">
      <c r="A97" s="74" t="s">
        <v>3</v>
      </c>
      <c r="B97" s="72">
        <f t="shared" si="0"/>
        <v>299.433</v>
      </c>
      <c r="C97" s="72">
        <f t="shared" si="0"/>
        <v>78.17977499999999</v>
      </c>
      <c r="D97" s="72">
        <f t="shared" si="0"/>
        <v>238.68710000000002</v>
      </c>
      <c r="E97" s="74" t="s">
        <v>3</v>
      </c>
      <c r="F97" s="102">
        <f>+B97*31</f>
        <v>9282.422999999999</v>
      </c>
      <c r="G97" s="103">
        <f>+C97*31</f>
        <v>2423.5730249999997</v>
      </c>
      <c r="H97" s="103">
        <f>+D97*31</f>
        <v>7399.3001</v>
      </c>
      <c r="I97" s="103">
        <f t="shared" si="1"/>
        <v>9822.873125</v>
      </c>
    </row>
    <row r="98" spans="1:9" ht="12.75">
      <c r="A98" s="74" t="s">
        <v>4</v>
      </c>
      <c r="B98" s="72">
        <f t="shared" si="0"/>
        <v>1528.893</v>
      </c>
      <c r="C98" s="72">
        <f t="shared" si="0"/>
        <v>1262.51</v>
      </c>
      <c r="D98" s="72">
        <f t="shared" si="0"/>
        <v>72.329925</v>
      </c>
      <c r="E98" s="74" t="s">
        <v>4</v>
      </c>
      <c r="F98" s="102">
        <f>+B98*30</f>
        <v>45866.79</v>
      </c>
      <c r="G98" s="103">
        <f>+C98*30</f>
        <v>37875.3</v>
      </c>
      <c r="H98" s="103">
        <f>+D98*30</f>
        <v>2169.89775</v>
      </c>
      <c r="I98" s="103">
        <f t="shared" si="1"/>
        <v>40045.19775000001</v>
      </c>
    </row>
    <row r="99" spans="1:9" ht="12.75">
      <c r="A99" s="74" t="s">
        <v>5</v>
      </c>
      <c r="B99" s="72">
        <f t="shared" si="0"/>
        <v>743.625</v>
      </c>
      <c r="C99" s="72">
        <f t="shared" si="0"/>
        <v>901.604</v>
      </c>
      <c r="D99" s="72">
        <f t="shared" si="0"/>
        <v>1.22946</v>
      </c>
      <c r="E99" s="74" t="s">
        <v>5</v>
      </c>
      <c r="F99" s="102">
        <f aca="true" t="shared" si="2" ref="F99:H100">+B99*31</f>
        <v>23052.375</v>
      </c>
      <c r="G99" s="103">
        <f t="shared" si="2"/>
        <v>27949.724000000002</v>
      </c>
      <c r="H99" s="103">
        <f t="shared" si="2"/>
        <v>38.11326</v>
      </c>
      <c r="I99" s="103">
        <f t="shared" si="1"/>
        <v>27987.83726</v>
      </c>
    </row>
    <row r="100" spans="1:9" ht="12.75">
      <c r="A100" s="74" t="s">
        <v>6</v>
      </c>
      <c r="B100" s="72">
        <f t="shared" si="0"/>
        <v>842.7750000000001</v>
      </c>
      <c r="C100" s="72">
        <f t="shared" si="0"/>
        <v>1009.3470000000001</v>
      </c>
      <c r="D100" s="72">
        <f t="shared" si="0"/>
        <v>52.84695</v>
      </c>
      <c r="E100" s="74" t="s">
        <v>6</v>
      </c>
      <c r="F100" s="102">
        <f t="shared" si="2"/>
        <v>26126.025</v>
      </c>
      <c r="G100" s="103">
        <f t="shared" si="2"/>
        <v>31289.757</v>
      </c>
      <c r="H100" s="103">
        <f t="shared" si="2"/>
        <v>1638.2554499999999</v>
      </c>
      <c r="I100" s="103">
        <f t="shared" si="1"/>
        <v>32928.01245</v>
      </c>
    </row>
    <row r="101" spans="1:9" ht="12.75">
      <c r="A101" s="74" t="s">
        <v>7</v>
      </c>
      <c r="B101" s="72">
        <f t="shared" si="0"/>
        <v>297.45</v>
      </c>
      <c r="C101" s="72">
        <f t="shared" si="0"/>
        <v>104.80155</v>
      </c>
      <c r="D101" s="72">
        <f t="shared" si="0"/>
        <v>2.9745</v>
      </c>
      <c r="E101" s="74" t="s">
        <v>7</v>
      </c>
      <c r="F101" s="102">
        <f>+B101*30</f>
        <v>8923.5</v>
      </c>
      <c r="G101" s="103">
        <f>+C101*30</f>
        <v>3144.0465000000004</v>
      </c>
      <c r="H101" s="103">
        <f>+D101*30</f>
        <v>89.235</v>
      </c>
      <c r="I101" s="103">
        <f t="shared" si="1"/>
        <v>3233.2815000000005</v>
      </c>
    </row>
    <row r="102" spans="1:9" ht="12.75">
      <c r="A102" s="74" t="s">
        <v>8</v>
      </c>
      <c r="B102" s="72">
        <f t="shared" si="0"/>
        <v>61.473000000000006</v>
      </c>
      <c r="C102" s="72">
        <f t="shared" si="0"/>
        <v>90.8214</v>
      </c>
      <c r="D102" s="72">
        <f t="shared" si="0"/>
        <v>1.3881</v>
      </c>
      <c r="E102" s="74" t="s">
        <v>8</v>
      </c>
      <c r="F102" s="102">
        <f>+B102*31</f>
        <v>1905.6630000000002</v>
      </c>
      <c r="G102" s="103">
        <f>+C102*31</f>
        <v>2815.4634</v>
      </c>
      <c r="H102" s="103">
        <f>+D102*31</f>
        <v>43.031099999999995</v>
      </c>
      <c r="I102" s="103">
        <f t="shared" si="1"/>
        <v>2858.4945000000002</v>
      </c>
    </row>
    <row r="103" spans="1:9" ht="12.75">
      <c r="A103" s="74" t="s">
        <v>9</v>
      </c>
      <c r="B103" s="72">
        <f t="shared" si="0"/>
        <v>53.541000000000004</v>
      </c>
      <c r="C103" s="72">
        <f t="shared" si="0"/>
        <v>64.2492</v>
      </c>
      <c r="D103" s="72">
        <f t="shared" si="0"/>
        <v>62.8611</v>
      </c>
      <c r="E103" s="74" t="s">
        <v>9</v>
      </c>
      <c r="F103" s="102">
        <f>+B103*30</f>
        <v>1606.23</v>
      </c>
      <c r="G103" s="103">
        <f>+C103*30</f>
        <v>1927.476</v>
      </c>
      <c r="H103" s="103">
        <f>+D103*30</f>
        <v>1885.833</v>
      </c>
      <c r="I103" s="103">
        <f t="shared" si="1"/>
        <v>3813.309</v>
      </c>
    </row>
    <row r="104" spans="1:9" ht="12.75">
      <c r="A104" s="74" t="s">
        <v>10</v>
      </c>
      <c r="B104" s="72">
        <f t="shared" si="0"/>
        <v>130.87800000000001</v>
      </c>
      <c r="C104" s="72">
        <f t="shared" si="0"/>
        <v>74.1642</v>
      </c>
      <c r="D104" s="72">
        <f t="shared" si="0"/>
        <v>93.7959</v>
      </c>
      <c r="E104" s="74" t="s">
        <v>10</v>
      </c>
      <c r="F104" s="102">
        <f>+B104*31</f>
        <v>4057.2180000000003</v>
      </c>
      <c r="G104" s="103">
        <f>+C104*31</f>
        <v>2299.0901999999996</v>
      </c>
      <c r="H104" s="103">
        <f>+D104*31</f>
        <v>2907.6729</v>
      </c>
      <c r="I104" s="103">
        <f t="shared" si="1"/>
        <v>5206.7631</v>
      </c>
    </row>
    <row r="105" spans="2:9" ht="12.75">
      <c r="B105" s="5"/>
      <c r="C105" s="5"/>
      <c r="D105" s="5"/>
      <c r="G105" s="5"/>
      <c r="H105" s="5"/>
      <c r="I105" s="5"/>
    </row>
    <row r="106" spans="2:9" ht="12.75">
      <c r="B106" s="5"/>
      <c r="C106" s="5"/>
      <c r="D106" s="5"/>
      <c r="G106" s="5"/>
      <c r="H106" s="5"/>
      <c r="I106" s="5"/>
    </row>
    <row r="107" spans="2:9" ht="12.75">
      <c r="B107" s="5"/>
      <c r="C107" s="5"/>
      <c r="D107" s="5"/>
      <c r="G107" s="5"/>
      <c r="H107" s="5"/>
      <c r="I107" s="5"/>
    </row>
    <row r="108" spans="2:9" ht="12.75">
      <c r="B108" s="75"/>
      <c r="C108" s="75"/>
      <c r="D108" s="75"/>
      <c r="G108" s="75"/>
      <c r="H108" s="75"/>
      <c r="I108" s="75"/>
    </row>
    <row r="111" ht="12.75">
      <c r="A111" s="76"/>
    </row>
    <row r="112" ht="12.75">
      <c r="A112" s="76"/>
    </row>
    <row r="113" ht="12.75">
      <c r="A113" s="76"/>
    </row>
    <row r="114" ht="12.75">
      <c r="A114" s="76"/>
    </row>
    <row r="115" ht="12.75">
      <c r="A115" s="76"/>
    </row>
    <row r="116" ht="12.75">
      <c r="A116" s="76"/>
    </row>
    <row r="117" ht="12.75">
      <c r="A117" s="76"/>
    </row>
    <row r="118" ht="12.75">
      <c r="A118" s="76"/>
    </row>
    <row r="119" ht="12.75">
      <c r="A119" s="76"/>
    </row>
    <row r="120" ht="12.75">
      <c r="A120" s="76"/>
    </row>
    <row r="121" ht="12.75">
      <c r="A121" s="76"/>
    </row>
    <row r="122" ht="12.75">
      <c r="A122" s="76"/>
    </row>
    <row r="123" ht="12.75">
      <c r="A123" s="76"/>
    </row>
    <row r="124" ht="12.75">
      <c r="A124" s="76"/>
    </row>
    <row r="125" ht="12.75">
      <c r="A125" s="76"/>
    </row>
    <row r="126" ht="12.75">
      <c r="A126" s="76"/>
    </row>
    <row r="127" ht="12.75">
      <c r="A127" s="76"/>
    </row>
    <row r="128" ht="12.75">
      <c r="A128" s="76"/>
    </row>
    <row r="129" ht="12.75">
      <c r="A129" s="76"/>
    </row>
    <row r="130" ht="12.75">
      <c r="A130" s="76"/>
    </row>
    <row r="131" ht="12.75">
      <c r="A131" s="76"/>
    </row>
    <row r="132" ht="12.75">
      <c r="A132" s="76"/>
    </row>
    <row r="133" ht="12.75">
      <c r="A133" s="76"/>
    </row>
    <row r="134" ht="12.75">
      <c r="A134" s="76"/>
    </row>
    <row r="135" ht="12.75">
      <c r="A135" s="76"/>
    </row>
    <row r="136" ht="12.75">
      <c r="A136" s="76"/>
    </row>
    <row r="137" ht="12.75">
      <c r="A137" s="76"/>
    </row>
    <row r="138" ht="12.75">
      <c r="A138" s="76"/>
    </row>
    <row r="139" ht="12.75">
      <c r="A139" s="76"/>
    </row>
    <row r="140" ht="12.75">
      <c r="A140" s="76"/>
    </row>
  </sheetData>
  <mergeCells count="1">
    <mergeCell ref="F1:G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C10" sqref="C10"/>
    </sheetView>
  </sheetViews>
  <sheetFormatPr defaultColWidth="9.140625" defaultRowHeight="12.75"/>
  <cols>
    <col min="1" max="1" width="9.28125" style="67" customWidth="1"/>
    <col min="2" max="2" width="29.421875" style="66" customWidth="1"/>
    <col min="3" max="5" width="10.140625" style="67" bestFit="1" customWidth="1"/>
    <col min="6" max="6" width="10.00390625" style="67" customWidth="1"/>
    <col min="7" max="7" width="13.57421875" style="67" customWidth="1"/>
    <col min="8" max="10" width="10.140625" style="67" bestFit="1" customWidth="1"/>
    <col min="11" max="16384" width="9.140625" style="67" customWidth="1"/>
  </cols>
  <sheetData>
    <row r="1" spans="1:10" ht="12.75">
      <c r="A1" s="57"/>
      <c r="C1" s="69">
        <v>35634</v>
      </c>
      <c r="D1" s="69">
        <v>35662</v>
      </c>
      <c r="E1" s="70">
        <v>35690</v>
      </c>
      <c r="F1" s="67" t="s">
        <v>262</v>
      </c>
      <c r="G1" s="66"/>
      <c r="H1" s="69">
        <v>35634</v>
      </c>
      <c r="I1" s="69">
        <v>35662</v>
      </c>
      <c r="J1" s="70">
        <v>35690</v>
      </c>
    </row>
    <row r="2" spans="1:10" ht="12.75">
      <c r="A2" s="66" t="s">
        <v>193</v>
      </c>
      <c r="B2" s="67"/>
      <c r="G2" s="66" t="s">
        <v>193</v>
      </c>
      <c r="H2" s="67">
        <v>151</v>
      </c>
      <c r="I2" s="67">
        <v>29</v>
      </c>
      <c r="J2" s="67">
        <v>173</v>
      </c>
    </row>
    <row r="3" spans="1:10" ht="12.75">
      <c r="A3" s="69"/>
      <c r="B3" s="66" t="s">
        <v>243</v>
      </c>
      <c r="C3" s="71">
        <v>115</v>
      </c>
      <c r="D3" s="68">
        <v>29</v>
      </c>
      <c r="E3" s="67">
        <v>173</v>
      </c>
      <c r="F3" s="67">
        <f>SUM(C3:E3)</f>
        <v>317</v>
      </c>
      <c r="G3" s="66" t="s">
        <v>194</v>
      </c>
      <c r="H3" s="67">
        <v>32</v>
      </c>
      <c r="I3" s="67">
        <v>0</v>
      </c>
      <c r="J3" s="67">
        <v>432</v>
      </c>
    </row>
    <row r="4" spans="2:10" ht="12.75">
      <c r="B4" s="66" t="s">
        <v>244</v>
      </c>
      <c r="C4" s="67">
        <v>7</v>
      </c>
      <c r="F4" s="67">
        <f>SUM(C4:E4)</f>
        <v>7</v>
      </c>
      <c r="G4" s="67" t="s">
        <v>248</v>
      </c>
      <c r="H4" s="67">
        <v>6677</v>
      </c>
      <c r="I4" s="67">
        <v>4605</v>
      </c>
      <c r="J4" s="67">
        <v>4749</v>
      </c>
    </row>
    <row r="5" spans="2:8" ht="12.75">
      <c r="B5" s="66" t="s">
        <v>245</v>
      </c>
      <c r="C5" s="67">
        <v>29</v>
      </c>
      <c r="F5" s="67">
        <f>SUM(C5:E5)</f>
        <v>29</v>
      </c>
      <c r="G5" s="67" t="s">
        <v>251</v>
      </c>
      <c r="H5" s="67">
        <v>173</v>
      </c>
    </row>
    <row r="6" spans="1:10" ht="12.75">
      <c r="A6" s="66" t="s">
        <v>194</v>
      </c>
      <c r="B6" s="67"/>
      <c r="G6" s="67" t="s">
        <v>196</v>
      </c>
      <c r="H6" s="67">
        <v>201</v>
      </c>
      <c r="J6" s="67">
        <v>230</v>
      </c>
    </row>
    <row r="7" spans="2:9" ht="12.75">
      <c r="B7" s="66" t="s">
        <v>246</v>
      </c>
      <c r="C7" s="67">
        <v>29</v>
      </c>
      <c r="D7" s="67" t="s">
        <v>156</v>
      </c>
      <c r="E7" s="67">
        <v>230</v>
      </c>
      <c r="F7" s="67">
        <f>SUM(C7:E7)</f>
        <v>259</v>
      </c>
      <c r="G7" s="67" t="s">
        <v>195</v>
      </c>
      <c r="H7" s="67">
        <v>374</v>
      </c>
      <c r="I7" s="67">
        <v>58</v>
      </c>
    </row>
    <row r="8" spans="2:8" ht="12.75">
      <c r="B8" s="66" t="s">
        <v>247</v>
      </c>
      <c r="C8" s="67">
        <v>3</v>
      </c>
      <c r="F8" s="67">
        <f>SUM(C8:E8)</f>
        <v>3</v>
      </c>
      <c r="G8" s="67" t="s">
        <v>197</v>
      </c>
      <c r="H8" s="67">
        <v>7</v>
      </c>
    </row>
    <row r="9" spans="2:6" ht="12.75">
      <c r="B9" s="66" t="s">
        <v>256</v>
      </c>
      <c r="E9" s="67">
        <v>58</v>
      </c>
      <c r="F9" s="67">
        <f>SUM(C9:E9)</f>
        <v>58</v>
      </c>
    </row>
    <row r="10" spans="2:6" ht="12.75">
      <c r="B10" s="66" t="s">
        <v>257</v>
      </c>
      <c r="E10" s="67">
        <v>144</v>
      </c>
      <c r="F10" s="67">
        <f>SUM(C10:E10)</f>
        <v>144</v>
      </c>
    </row>
    <row r="11" ht="12.75">
      <c r="A11" s="67" t="s">
        <v>248</v>
      </c>
    </row>
    <row r="12" spans="2:6" ht="12.75">
      <c r="B12" s="66" t="s">
        <v>258</v>
      </c>
      <c r="E12" s="67">
        <v>720</v>
      </c>
      <c r="F12" s="67">
        <f>SUM(C12:E12)</f>
        <v>720</v>
      </c>
    </row>
    <row r="13" spans="2:6" ht="12.75">
      <c r="B13" s="66" t="s">
        <v>249</v>
      </c>
      <c r="C13" s="67">
        <v>5180</v>
      </c>
      <c r="D13" s="67">
        <v>4605</v>
      </c>
      <c r="E13" s="67">
        <v>4029</v>
      </c>
      <c r="F13" s="67">
        <f>SUM(C13:E13)</f>
        <v>13814</v>
      </c>
    </row>
    <row r="14" spans="2:6" ht="12.75">
      <c r="B14" s="66" t="s">
        <v>250</v>
      </c>
      <c r="C14" s="67">
        <v>1497</v>
      </c>
      <c r="F14" s="67">
        <f>SUM(C14:E14)</f>
        <v>1497</v>
      </c>
    </row>
    <row r="15" ht="12.75">
      <c r="A15" s="67" t="s">
        <v>251</v>
      </c>
    </row>
    <row r="16" spans="2:6" ht="12.75">
      <c r="B16" s="66" t="s">
        <v>252</v>
      </c>
      <c r="C16" s="67">
        <v>173</v>
      </c>
      <c r="F16" s="67">
        <f>SUM(C16:E16)</f>
        <v>173</v>
      </c>
    </row>
    <row r="17" ht="12.75">
      <c r="A17" s="67" t="s">
        <v>196</v>
      </c>
    </row>
    <row r="18" spans="2:5" ht="12.75">
      <c r="B18" s="66" t="s">
        <v>253</v>
      </c>
      <c r="C18" s="67">
        <v>201</v>
      </c>
      <c r="E18" s="67">
        <v>230</v>
      </c>
    </row>
    <row r="19" ht="12.75">
      <c r="A19" s="67" t="s">
        <v>195</v>
      </c>
    </row>
    <row r="20" spans="2:4" ht="12.75">
      <c r="B20" s="66" t="s">
        <v>254</v>
      </c>
      <c r="C20" s="67">
        <v>374</v>
      </c>
      <c r="D20" s="67">
        <v>58</v>
      </c>
    </row>
    <row r="21" ht="12.75">
      <c r="A21" s="67" t="s">
        <v>197</v>
      </c>
    </row>
    <row r="22" spans="2:3" ht="12.75">
      <c r="B22" s="66" t="s">
        <v>255</v>
      </c>
      <c r="C22" s="67">
        <v>7</v>
      </c>
    </row>
    <row r="24" ht="12.75">
      <c r="A24" s="57"/>
    </row>
  </sheetData>
  <printOptions horizontalCentered="1" verticalCentered="1"/>
  <pageMargins left="0.75" right="0.75" top="1" bottom="1" header="0.5" footer="0.5"/>
  <pageSetup horizontalDpi="600" verticalDpi="600" orientation="portrait" r:id="rId2"/>
  <headerFooter alignWithMargins="0">
    <oddHeader xml:space="preserve">&amp;CFigure 3
Chatfield Reservoir
Phytoplankton Data
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s="13" t="s">
        <v>134</v>
      </c>
      <c r="C1" s="15"/>
      <c r="E1" s="15"/>
      <c r="G1" s="15"/>
      <c r="H1" s="15"/>
      <c r="I1" s="15"/>
    </row>
    <row r="2" spans="1:9" ht="13.5" thickBot="1">
      <c r="A2" s="14" t="s">
        <v>135</v>
      </c>
      <c r="C2" s="16" t="s">
        <v>11</v>
      </c>
      <c r="E2" s="16" t="s">
        <v>12</v>
      </c>
      <c r="G2" s="16" t="s">
        <v>13</v>
      </c>
      <c r="H2" s="15"/>
      <c r="I2" s="16" t="s">
        <v>136</v>
      </c>
    </row>
    <row r="3" spans="2:9" ht="13.5" thickTop="1">
      <c r="B3" s="9">
        <v>35471</v>
      </c>
      <c r="C3" s="17">
        <f>287/2</f>
        <v>143.5</v>
      </c>
      <c r="D3" s="19">
        <v>35471</v>
      </c>
      <c r="E3" s="15">
        <v>119</v>
      </c>
      <c r="F3" s="9">
        <v>35471</v>
      </c>
      <c r="G3" s="23">
        <v>154</v>
      </c>
      <c r="H3" s="24">
        <v>35471</v>
      </c>
      <c r="I3" s="15">
        <v>134</v>
      </c>
    </row>
    <row r="4" spans="2:9" ht="12.75">
      <c r="B4" s="10">
        <v>35487</v>
      </c>
      <c r="C4" s="17">
        <v>130</v>
      </c>
      <c r="D4" s="20">
        <v>35487</v>
      </c>
      <c r="E4" s="15">
        <v>130</v>
      </c>
      <c r="F4" s="22">
        <v>35487</v>
      </c>
      <c r="G4" s="23">
        <v>150</v>
      </c>
      <c r="H4" s="25">
        <v>35487</v>
      </c>
      <c r="I4" s="15">
        <v>133.67</v>
      </c>
    </row>
    <row r="5" spans="2:9" ht="12.75">
      <c r="B5" s="10">
        <v>35501</v>
      </c>
      <c r="C5" s="17">
        <v>157</v>
      </c>
      <c r="D5" s="20">
        <v>35501</v>
      </c>
      <c r="E5" s="15">
        <v>139</v>
      </c>
      <c r="F5" s="22">
        <v>35501</v>
      </c>
      <c r="G5" s="23">
        <v>138</v>
      </c>
      <c r="H5" s="25">
        <v>35501</v>
      </c>
      <c r="I5" s="15">
        <v>148.5</v>
      </c>
    </row>
    <row r="6" spans="2:9" ht="12.75">
      <c r="B6" s="11">
        <v>35537</v>
      </c>
      <c r="C6" s="18">
        <v>145</v>
      </c>
      <c r="D6" s="20">
        <v>35537</v>
      </c>
      <c r="E6" s="15">
        <v>130</v>
      </c>
      <c r="F6" s="22">
        <v>35537</v>
      </c>
      <c r="G6" s="23">
        <v>152</v>
      </c>
      <c r="H6" s="26">
        <v>35537</v>
      </c>
      <c r="I6" s="15">
        <v>142.25</v>
      </c>
    </row>
    <row r="7" spans="2:9" ht="12.75">
      <c r="B7" s="11">
        <v>35577</v>
      </c>
      <c r="C7" s="17">
        <v>151</v>
      </c>
      <c r="D7" s="21">
        <v>35577.62847222222</v>
      </c>
      <c r="E7" s="13">
        <v>79</v>
      </c>
      <c r="F7" s="12">
        <v>35577.604166666664</v>
      </c>
      <c r="G7" s="17">
        <v>120</v>
      </c>
      <c r="H7" s="21">
        <v>35577.5625</v>
      </c>
      <c r="I7" s="13">
        <v>152</v>
      </c>
    </row>
    <row r="8" spans="2:9" ht="12.75">
      <c r="B8" s="11">
        <v>35599</v>
      </c>
      <c r="C8" s="17">
        <v>101</v>
      </c>
      <c r="D8" s="21">
        <v>35599.479166666664</v>
      </c>
      <c r="E8" s="13">
        <f>125/2</f>
        <v>62.5</v>
      </c>
      <c r="F8" s="12">
        <v>35599.458333333336</v>
      </c>
      <c r="G8" s="17">
        <v>107</v>
      </c>
      <c r="H8" s="20">
        <v>35599.395833333336</v>
      </c>
      <c r="I8" s="15">
        <v>108.75</v>
      </c>
    </row>
    <row r="9" spans="2:9" ht="12.75">
      <c r="B9" s="12">
        <v>35620.5</v>
      </c>
      <c r="C9" s="17">
        <f>184/2</f>
        <v>92</v>
      </c>
      <c r="D9" s="21">
        <v>35620.479166666664</v>
      </c>
      <c r="E9" s="13">
        <v>89</v>
      </c>
      <c r="F9" s="12">
        <v>35620.46527777778</v>
      </c>
      <c r="G9" s="17">
        <v>134</v>
      </c>
      <c r="H9" s="21">
        <v>35620.416666666664</v>
      </c>
      <c r="I9" s="13">
        <v>92</v>
      </c>
    </row>
    <row r="10" spans="2:9" ht="12.75">
      <c r="B10" s="12">
        <v>35654.520833333336</v>
      </c>
      <c r="C10" s="17">
        <v>93</v>
      </c>
      <c r="D10" s="21">
        <v>35654.5</v>
      </c>
      <c r="E10" s="13">
        <v>85</v>
      </c>
      <c r="F10" s="12">
        <v>35654.479166666664</v>
      </c>
      <c r="G10" s="17">
        <v>108</v>
      </c>
      <c r="H10" s="20">
        <v>35654</v>
      </c>
      <c r="I10" s="15">
        <v>94</v>
      </c>
    </row>
    <row r="11" spans="2:9" ht="12.75">
      <c r="B11" s="12">
        <v>35676.48263888889</v>
      </c>
      <c r="C11" s="17">
        <v>97</v>
      </c>
      <c r="D11" s="21">
        <v>35676.381944444445</v>
      </c>
      <c r="E11" s="13">
        <v>92</v>
      </c>
      <c r="F11" s="12">
        <v>35676.39236111111</v>
      </c>
      <c r="G11" s="17">
        <v>137</v>
      </c>
      <c r="H11" s="21">
        <v>35676.447916666664</v>
      </c>
      <c r="I11" s="13">
        <v>97.25</v>
      </c>
    </row>
    <row r="12" spans="2:9" ht="12.75">
      <c r="B12" s="12">
        <v>35711.399305555555</v>
      </c>
      <c r="C12" s="17">
        <v>83</v>
      </c>
      <c r="D12" s="21">
        <v>35711.36111111111</v>
      </c>
      <c r="E12" s="13">
        <v>103</v>
      </c>
      <c r="F12" s="12">
        <v>35711.381944444445</v>
      </c>
      <c r="G12" s="17">
        <v>157</v>
      </c>
      <c r="H12" s="21">
        <v>35711.458333333336</v>
      </c>
      <c r="I12" s="13">
        <v>97.67</v>
      </c>
    </row>
    <row r="13" spans="2:9" ht="12.75">
      <c r="B13" s="12">
        <v>35753.43402777778</v>
      </c>
      <c r="C13" s="17">
        <v>114</v>
      </c>
      <c r="D13" s="21">
        <v>35753.447916666664</v>
      </c>
      <c r="E13" s="13">
        <v>99</v>
      </c>
      <c r="F13" s="12">
        <v>35753.34375</v>
      </c>
      <c r="G13" s="17">
        <v>144</v>
      </c>
      <c r="H13" s="21">
        <v>35753.40972222222</v>
      </c>
      <c r="I13" s="13">
        <v>116</v>
      </c>
    </row>
    <row r="14" spans="2:9" ht="12.75">
      <c r="B14" s="12">
        <v>35782.572916666664</v>
      </c>
      <c r="C14" s="17">
        <v>113</v>
      </c>
      <c r="D14" s="21">
        <v>35782.538194444445</v>
      </c>
      <c r="E14" s="13">
        <v>106</v>
      </c>
      <c r="F14" s="12">
        <v>35782.54861111111</v>
      </c>
      <c r="G14" s="17">
        <f>272/2</f>
        <v>136</v>
      </c>
      <c r="H14" s="21">
        <v>35782.520833333336</v>
      </c>
      <c r="I14" s="13">
        <v>117</v>
      </c>
    </row>
    <row r="16" spans="2:3" ht="13.5" thickBot="1">
      <c r="B16" s="15"/>
      <c r="C16" s="15"/>
    </row>
    <row r="17" spans="2:9" ht="12.75">
      <c r="B17" s="34" t="s">
        <v>173</v>
      </c>
      <c r="C17" s="34"/>
      <c r="D17" s="34" t="s">
        <v>157</v>
      </c>
      <c r="E17" s="34"/>
      <c r="F17" s="34" t="s">
        <v>172</v>
      </c>
      <c r="G17" s="34"/>
      <c r="H17" s="34" t="s">
        <v>174</v>
      </c>
      <c r="I17" s="34"/>
    </row>
    <row r="18" spans="2:9" ht="12.75">
      <c r="B18" s="32"/>
      <c r="C18" s="32"/>
      <c r="D18" s="32"/>
      <c r="E18" s="32"/>
      <c r="F18" s="32"/>
      <c r="G18" s="32"/>
      <c r="H18" s="32"/>
      <c r="I18" s="32"/>
    </row>
    <row r="19" spans="2:9" ht="12.75">
      <c r="B19" s="32" t="s">
        <v>158</v>
      </c>
      <c r="C19" s="32">
        <v>118.29166666666667</v>
      </c>
      <c r="D19" s="32" t="s">
        <v>158</v>
      </c>
      <c r="E19" s="32">
        <v>102.79166666666667</v>
      </c>
      <c r="F19" s="32" t="s">
        <v>158</v>
      </c>
      <c r="G19" s="32">
        <v>136.41666666666666</v>
      </c>
      <c r="H19" s="32" t="s">
        <v>158</v>
      </c>
      <c r="I19" s="32">
        <v>119.42416666666668</v>
      </c>
    </row>
    <row r="20" spans="2:9" ht="12.75">
      <c r="B20" s="32" t="s">
        <v>159</v>
      </c>
      <c r="C20" s="32">
        <v>7.502135638697428</v>
      </c>
      <c r="D20" s="32" t="s">
        <v>159</v>
      </c>
      <c r="E20" s="32">
        <v>6.6808915474423705</v>
      </c>
      <c r="F20" s="32" t="s">
        <v>159</v>
      </c>
      <c r="G20" s="32">
        <v>4.899688198696359</v>
      </c>
      <c r="H20" s="32" t="s">
        <v>159</v>
      </c>
      <c r="I20" s="32">
        <v>6.359171551047849</v>
      </c>
    </row>
    <row r="21" spans="2:9" ht="12.75">
      <c r="B21" s="32" t="s">
        <v>160</v>
      </c>
      <c r="C21" s="32">
        <v>113.5</v>
      </c>
      <c r="D21" s="32" t="s">
        <v>160</v>
      </c>
      <c r="E21" s="32">
        <v>101</v>
      </c>
      <c r="F21" s="32" t="s">
        <v>160</v>
      </c>
      <c r="G21" s="32">
        <v>137.5</v>
      </c>
      <c r="H21" s="32" t="s">
        <v>160</v>
      </c>
      <c r="I21" s="32">
        <v>116.5</v>
      </c>
    </row>
    <row r="22" spans="2:9" ht="12.75">
      <c r="B22" s="32" t="s">
        <v>161</v>
      </c>
      <c r="C22" s="32" t="e">
        <v>#N/A</v>
      </c>
      <c r="D22" s="32" t="s">
        <v>161</v>
      </c>
      <c r="E22" s="32">
        <v>130</v>
      </c>
      <c r="F22" s="32" t="s">
        <v>161</v>
      </c>
      <c r="G22" s="32" t="e">
        <v>#N/A</v>
      </c>
      <c r="H22" s="32" t="s">
        <v>161</v>
      </c>
      <c r="I22" s="32" t="e">
        <v>#N/A</v>
      </c>
    </row>
    <row r="23" spans="2:9" ht="12.75">
      <c r="B23" s="32" t="s">
        <v>162</v>
      </c>
      <c r="C23" s="32">
        <v>25.98816018299427</v>
      </c>
      <c r="D23" s="32" t="s">
        <v>162</v>
      </c>
      <c r="E23" s="32">
        <v>23.143287200055287</v>
      </c>
      <c r="F23" s="32" t="s">
        <v>162</v>
      </c>
      <c r="G23" s="32">
        <v>16.973017802775452</v>
      </c>
      <c r="H23" s="32" t="s">
        <v>162</v>
      </c>
      <c r="I23" s="32">
        <v>22.028816440922913</v>
      </c>
    </row>
    <row r="24" spans="2:9" ht="12.75">
      <c r="B24" s="32" t="s">
        <v>163</v>
      </c>
      <c r="C24" s="32">
        <v>675.3844696969688</v>
      </c>
      <c r="D24" s="32" t="s">
        <v>163</v>
      </c>
      <c r="E24" s="32">
        <v>535.6117424242428</v>
      </c>
      <c r="F24" s="32" t="s">
        <v>163</v>
      </c>
      <c r="G24" s="32">
        <v>288.08333333333246</v>
      </c>
      <c r="H24" s="32" t="s">
        <v>163</v>
      </c>
      <c r="I24" s="32">
        <v>485.2687537878757</v>
      </c>
    </row>
    <row r="25" spans="2:9" ht="12.75">
      <c r="B25" s="32" t="s">
        <v>164</v>
      </c>
      <c r="C25" s="32">
        <v>-1.5960610755452125</v>
      </c>
      <c r="D25" s="32" t="s">
        <v>164</v>
      </c>
      <c r="E25" s="32">
        <v>-0.7431435256769716</v>
      </c>
      <c r="F25" s="32" t="s">
        <v>164</v>
      </c>
      <c r="G25" s="32">
        <v>-0.5303247660480057</v>
      </c>
      <c r="H25" s="32" t="s">
        <v>164</v>
      </c>
      <c r="I25" s="32">
        <v>-1.5836143074356874</v>
      </c>
    </row>
    <row r="26" spans="2:9" ht="12.75">
      <c r="B26" s="32" t="s">
        <v>165</v>
      </c>
      <c r="C26" s="32">
        <v>0.22566815809923121</v>
      </c>
      <c r="D26" s="32" t="s">
        <v>165</v>
      </c>
      <c r="E26" s="32">
        <v>0.03170261019666569</v>
      </c>
      <c r="F26" s="32" t="s">
        <v>165</v>
      </c>
      <c r="G26" s="32">
        <v>-0.7128910933903501</v>
      </c>
      <c r="H26" s="32" t="s">
        <v>165</v>
      </c>
      <c r="I26" s="32">
        <v>0.17861504219240312</v>
      </c>
    </row>
    <row r="27" spans="2:9" ht="12.75">
      <c r="B27" s="32" t="s">
        <v>166</v>
      </c>
      <c r="C27" s="32">
        <v>74</v>
      </c>
      <c r="D27" s="32" t="s">
        <v>166</v>
      </c>
      <c r="E27" s="32">
        <v>76.5</v>
      </c>
      <c r="F27" s="32" t="s">
        <v>166</v>
      </c>
      <c r="G27" s="32">
        <v>50</v>
      </c>
      <c r="H27" s="32" t="s">
        <v>166</v>
      </c>
      <c r="I27" s="32">
        <v>60</v>
      </c>
    </row>
    <row r="28" spans="2:9" ht="12.75">
      <c r="B28" s="32" t="s">
        <v>167</v>
      </c>
      <c r="C28" s="32">
        <v>83</v>
      </c>
      <c r="D28" s="32" t="s">
        <v>167</v>
      </c>
      <c r="E28" s="32">
        <v>62.5</v>
      </c>
      <c r="F28" s="32" t="s">
        <v>167</v>
      </c>
      <c r="G28" s="32">
        <v>107</v>
      </c>
      <c r="H28" s="32" t="s">
        <v>167</v>
      </c>
      <c r="I28" s="32">
        <v>92</v>
      </c>
    </row>
    <row r="29" spans="2:9" ht="12.75">
      <c r="B29" s="32" t="s">
        <v>168</v>
      </c>
      <c r="C29" s="32">
        <v>157</v>
      </c>
      <c r="D29" s="32" t="s">
        <v>168</v>
      </c>
      <c r="E29" s="32">
        <v>139</v>
      </c>
      <c r="F29" s="32" t="s">
        <v>168</v>
      </c>
      <c r="G29" s="32">
        <v>157</v>
      </c>
      <c r="H29" s="32" t="s">
        <v>168</v>
      </c>
      <c r="I29" s="32">
        <v>152</v>
      </c>
    </row>
    <row r="30" spans="2:9" ht="12.75">
      <c r="B30" s="32" t="s">
        <v>169</v>
      </c>
      <c r="C30" s="32">
        <v>1419.5</v>
      </c>
      <c r="D30" s="32" t="s">
        <v>169</v>
      </c>
      <c r="E30" s="32">
        <v>1233.5</v>
      </c>
      <c r="F30" s="32" t="s">
        <v>169</v>
      </c>
      <c r="G30" s="32">
        <v>1637</v>
      </c>
      <c r="H30" s="32" t="s">
        <v>169</v>
      </c>
      <c r="I30" s="32">
        <v>1433.09</v>
      </c>
    </row>
    <row r="31" spans="2:9" ht="12.75">
      <c r="B31" s="32" t="s">
        <v>170</v>
      </c>
      <c r="C31" s="32">
        <v>12</v>
      </c>
      <c r="D31" s="32" t="s">
        <v>170</v>
      </c>
      <c r="E31" s="32">
        <v>12</v>
      </c>
      <c r="F31" s="32" t="s">
        <v>170</v>
      </c>
      <c r="G31" s="32">
        <v>12</v>
      </c>
      <c r="H31" s="32" t="s">
        <v>170</v>
      </c>
      <c r="I31" s="32">
        <v>12</v>
      </c>
    </row>
    <row r="32" spans="2:9" ht="13.5" thickBot="1">
      <c r="B32" s="33" t="s">
        <v>171</v>
      </c>
      <c r="C32" s="33">
        <v>16.512097560738916</v>
      </c>
      <c r="D32" s="33" t="s">
        <v>171</v>
      </c>
      <c r="E32" s="33">
        <v>14.704550588909125</v>
      </c>
      <c r="F32" s="33" t="s">
        <v>171</v>
      </c>
      <c r="G32" s="33">
        <v>10.784146468474479</v>
      </c>
      <c r="H32" s="33" t="s">
        <v>171</v>
      </c>
      <c r="I32" s="33">
        <v>13.996449293018763</v>
      </c>
    </row>
    <row r="33" spans="2:8" ht="12.75">
      <c r="B33" t="s">
        <v>11</v>
      </c>
      <c r="D33" t="s">
        <v>12</v>
      </c>
      <c r="F33" t="s">
        <v>13</v>
      </c>
      <c r="H33" t="s">
        <v>136</v>
      </c>
    </row>
    <row r="34" spans="1:8" ht="12.75">
      <c r="A34" t="s">
        <v>175</v>
      </c>
      <c r="B34">
        <v>101.77956910592775</v>
      </c>
      <c r="D34">
        <v>88.08711607775754</v>
      </c>
      <c r="F34">
        <v>125.63252019819218</v>
      </c>
      <c r="H34">
        <v>105.42771737364791</v>
      </c>
    </row>
    <row r="35" ht="13.5" thickBot="1"/>
    <row r="36" spans="2:3" ht="12.75">
      <c r="B36" s="34" t="s">
        <v>157</v>
      </c>
      <c r="C36" s="34"/>
    </row>
    <row r="37" spans="2:3" ht="12.75">
      <c r="B37" s="32"/>
      <c r="C37" s="32"/>
    </row>
    <row r="38" spans="2:3" ht="12.75">
      <c r="B38" s="32" t="s">
        <v>158</v>
      </c>
      <c r="C38" s="32">
        <v>143.5</v>
      </c>
    </row>
    <row r="39" spans="2:3" ht="12.75">
      <c r="B39" s="32" t="s">
        <v>159</v>
      </c>
      <c r="C39" s="32">
        <v>7.794228634059948</v>
      </c>
    </row>
    <row r="40" spans="2:3" ht="12.75">
      <c r="B40" s="32" t="s">
        <v>160</v>
      </c>
      <c r="C40" s="32">
        <v>143.5</v>
      </c>
    </row>
    <row r="41" spans="2:3" ht="12.75">
      <c r="B41" s="32" t="s">
        <v>161</v>
      </c>
      <c r="C41" s="32" t="e">
        <v>#N/A</v>
      </c>
    </row>
    <row r="42" spans="2:3" ht="12.75">
      <c r="B42" s="32" t="s">
        <v>162</v>
      </c>
      <c r="C42" s="32">
        <v>13.5</v>
      </c>
    </row>
    <row r="43" spans="2:3" ht="12.75">
      <c r="B43" s="32" t="s">
        <v>163</v>
      </c>
      <c r="C43" s="32">
        <v>182.25</v>
      </c>
    </row>
    <row r="44" spans="2:3" ht="12.75">
      <c r="B44" s="32" t="s">
        <v>164</v>
      </c>
      <c r="C44" s="32" t="e">
        <v>#DIV/0!</v>
      </c>
    </row>
    <row r="45" spans="2:3" ht="12.75">
      <c r="B45" s="32" t="s">
        <v>165</v>
      </c>
      <c r="C45" s="32">
        <v>0</v>
      </c>
    </row>
    <row r="46" spans="2:3" ht="12.75">
      <c r="B46" s="32" t="s">
        <v>166</v>
      </c>
      <c r="C46" s="32">
        <v>27</v>
      </c>
    </row>
    <row r="47" spans="2:3" ht="12.75">
      <c r="B47" s="32" t="s">
        <v>167</v>
      </c>
      <c r="C47" s="32">
        <v>130</v>
      </c>
    </row>
    <row r="48" spans="2:3" ht="12.75">
      <c r="B48" s="32" t="s">
        <v>168</v>
      </c>
      <c r="C48" s="32">
        <v>157</v>
      </c>
    </row>
    <row r="49" spans="2:3" ht="12.75">
      <c r="B49" s="32" t="s">
        <v>169</v>
      </c>
      <c r="C49" s="32">
        <v>430.5</v>
      </c>
    </row>
    <row r="50" spans="2:3" ht="12.75">
      <c r="B50" s="32" t="s">
        <v>170</v>
      </c>
      <c r="C50" s="32">
        <v>3</v>
      </c>
    </row>
    <row r="51" spans="2:3" ht="13.5" thickBot="1">
      <c r="B51" s="33" t="s">
        <v>171</v>
      </c>
      <c r="C51" s="33">
        <v>33.53588245461968</v>
      </c>
    </row>
    <row r="52" ht="12.75">
      <c r="B52">
        <f>143.5-33.53588</f>
        <v>109.96412000000001</v>
      </c>
    </row>
    <row r="53" ht="12.75">
      <c r="B53">
        <f>LN(B52)</f>
        <v>4.700154130765374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workbookViewId="0" topLeftCell="I1">
      <selection activeCell="O19" sqref="O19"/>
    </sheetView>
  </sheetViews>
  <sheetFormatPr defaultColWidth="9.140625" defaultRowHeight="12.75"/>
  <cols>
    <col min="1" max="1" width="10.140625" style="0" customWidth="1"/>
    <col min="2" max="2" width="12.57421875" style="0" customWidth="1"/>
    <col min="14" max="14" width="9.8515625" style="0" customWidth="1"/>
    <col min="15" max="15" width="10.28125" style="0" customWidth="1"/>
    <col min="16" max="16" width="15.28125" style="0" customWidth="1"/>
    <col min="17" max="17" width="11.57421875" style="0" customWidth="1"/>
  </cols>
  <sheetData>
    <row r="1" spans="2:12" ht="15.75">
      <c r="B1" s="51" t="s">
        <v>143</v>
      </c>
      <c r="C1" s="46" t="s">
        <v>144</v>
      </c>
      <c r="E1" t="s">
        <v>191</v>
      </c>
      <c r="L1" t="s">
        <v>271</v>
      </c>
    </row>
    <row r="2" spans="2:9" ht="12.75">
      <c r="B2" s="116" t="s">
        <v>11</v>
      </c>
      <c r="C2" s="116"/>
      <c r="D2" s="116" t="s">
        <v>12</v>
      </c>
      <c r="E2" s="116"/>
      <c r="F2" s="116" t="s">
        <v>13</v>
      </c>
      <c r="G2" s="116"/>
      <c r="H2" s="116" t="s">
        <v>136</v>
      </c>
      <c r="I2" s="116"/>
    </row>
    <row r="3" spans="2:14" ht="14.25">
      <c r="B3" s="68" t="s">
        <v>179</v>
      </c>
      <c r="C3" s="67" t="s">
        <v>152</v>
      </c>
      <c r="D3" s="68" t="s">
        <v>179</v>
      </c>
      <c r="E3" s="67" t="s">
        <v>152</v>
      </c>
      <c r="F3" s="68" t="s">
        <v>179</v>
      </c>
      <c r="G3" s="67" t="s">
        <v>152</v>
      </c>
      <c r="H3" s="68" t="s">
        <v>179</v>
      </c>
      <c r="I3" s="67" t="s">
        <v>152</v>
      </c>
      <c r="L3" t="s">
        <v>273</v>
      </c>
      <c r="N3" s="54" t="s">
        <v>185</v>
      </c>
    </row>
    <row r="4" spans="1:17" ht="12.75">
      <c r="A4" s="53">
        <v>35471</v>
      </c>
      <c r="B4" s="83">
        <v>1.5061643742029505</v>
      </c>
      <c r="C4" s="54">
        <v>1.5</v>
      </c>
      <c r="D4" s="86">
        <v>1.3002645799411898</v>
      </c>
      <c r="E4" s="96">
        <v>1.5</v>
      </c>
      <c r="F4" s="86">
        <v>1.5920383612830158</v>
      </c>
      <c r="G4" s="54">
        <v>1.5</v>
      </c>
      <c r="H4" s="86">
        <v>1.4272989484626173</v>
      </c>
      <c r="I4" s="96">
        <v>1.5</v>
      </c>
      <c r="M4" t="s">
        <v>11</v>
      </c>
      <c r="N4" s="116" t="s">
        <v>179</v>
      </c>
      <c r="O4" s="116"/>
      <c r="P4" s="116"/>
      <c r="Q4" s="116"/>
    </row>
    <row r="5" spans="1:17" ht="12.75">
      <c r="A5" s="53">
        <v>35487</v>
      </c>
      <c r="B5" s="83">
        <v>1.3937361939591866</v>
      </c>
      <c r="C5" s="96">
        <v>1.5</v>
      </c>
      <c r="D5" s="86">
        <v>1.3937361939591866</v>
      </c>
      <c r="E5" s="96">
        <v>3</v>
      </c>
      <c r="F5" s="86">
        <v>1.5594775057138093</v>
      </c>
      <c r="G5" s="54">
        <v>1.5</v>
      </c>
      <c r="H5" s="86">
        <v>1.424538247635223</v>
      </c>
      <c r="I5" s="96">
        <v>1.5</v>
      </c>
      <c r="M5" t="s">
        <v>175</v>
      </c>
      <c r="N5" s="97" t="s">
        <v>138</v>
      </c>
      <c r="O5" s="97" t="s">
        <v>272</v>
      </c>
      <c r="P5" s="97" t="s">
        <v>278</v>
      </c>
      <c r="Q5" s="98" t="s">
        <v>280</v>
      </c>
    </row>
    <row r="6" spans="1:17" ht="12.75">
      <c r="A6" s="53">
        <v>35501</v>
      </c>
      <c r="B6" s="83">
        <v>1.6163397936760324</v>
      </c>
      <c r="C6" s="54">
        <v>1.5</v>
      </c>
      <c r="D6" s="86">
        <v>1.468951575363702</v>
      </c>
      <c r="E6" s="96">
        <v>1.5</v>
      </c>
      <c r="F6" s="86">
        <v>1.4606471538682528</v>
      </c>
      <c r="G6" s="96">
        <v>1.5</v>
      </c>
      <c r="H6" s="86">
        <v>1.5472192836401262</v>
      </c>
      <c r="I6" s="54">
        <v>1.5</v>
      </c>
      <c r="L6" s="53">
        <v>35471</v>
      </c>
      <c r="M6" s="15">
        <v>143.5</v>
      </c>
      <c r="N6" s="99">
        <f>LN(M6)</f>
        <v>4.966335035199676</v>
      </c>
      <c r="O6" s="99">
        <f>1.417*N6</f>
        <v>7.037296744877941</v>
      </c>
      <c r="P6" s="99">
        <f>+O6-5.167</f>
        <v>1.8702967448779413</v>
      </c>
      <c r="Q6" s="99">
        <f>EXP(P6)</f>
        <v>6.490222053709677</v>
      </c>
    </row>
    <row r="7" spans="1:17" ht="12.75">
      <c r="A7" s="53">
        <v>35537</v>
      </c>
      <c r="B7" s="83">
        <v>1.5185126477074562</v>
      </c>
      <c r="C7" s="54">
        <v>1.5</v>
      </c>
      <c r="D7" s="86">
        <v>1.3937361939591866</v>
      </c>
      <c r="E7" s="96">
        <v>1.5</v>
      </c>
      <c r="F7" s="86">
        <v>1.575780941033366</v>
      </c>
      <c r="G7" s="54">
        <v>1.5</v>
      </c>
      <c r="H7" s="86">
        <v>1.4958529578655406</v>
      </c>
      <c r="I7" s="54">
        <v>1.5</v>
      </c>
      <c r="L7" s="53">
        <v>35487</v>
      </c>
      <c r="M7" s="15">
        <v>130</v>
      </c>
      <c r="N7" s="99">
        <f aca="true" t="shared" si="0" ref="N7:N17">LN(M7)</f>
        <v>4.867534450455582</v>
      </c>
      <c r="O7" s="99">
        <f aca="true" t="shared" si="1" ref="O7:O17">1.417*N7</f>
        <v>6.89729631629556</v>
      </c>
      <c r="P7" s="99">
        <f aca="true" t="shared" si="2" ref="P7:P17">+O7-5.167</f>
        <v>1.7302963162955605</v>
      </c>
      <c r="Q7" s="99">
        <f aca="true" t="shared" si="3" ref="Q7:Q17">EXP(P7)</f>
        <v>5.642325573757613</v>
      </c>
    </row>
    <row r="8" spans="1:17" ht="12.75">
      <c r="A8" s="53">
        <v>35577</v>
      </c>
      <c r="B8" s="83">
        <v>1.56763502139621</v>
      </c>
      <c r="C8" s="96">
        <v>3</v>
      </c>
      <c r="D8" s="86">
        <v>0.9426035048286</v>
      </c>
      <c r="E8" s="96">
        <v>1.5</v>
      </c>
      <c r="F8" s="86">
        <v>1.3088364238429608</v>
      </c>
      <c r="G8" s="96">
        <v>1.5</v>
      </c>
      <c r="H8" s="86">
        <v>1.575780941033366</v>
      </c>
      <c r="I8" s="54">
        <v>1.5</v>
      </c>
      <c r="L8" s="53">
        <v>35501</v>
      </c>
      <c r="M8" s="15">
        <v>157</v>
      </c>
      <c r="N8" s="99">
        <f t="shared" si="0"/>
        <v>5.056245805348308</v>
      </c>
      <c r="O8" s="99">
        <f t="shared" si="1"/>
        <v>7.164700306178553</v>
      </c>
      <c r="P8" s="99">
        <f t="shared" si="2"/>
        <v>1.9977003061785528</v>
      </c>
      <c r="Q8" s="99">
        <f t="shared" si="3"/>
        <v>7.372083056154704</v>
      </c>
    </row>
    <row r="9" spans="1:17" ht="12.75">
      <c r="A9" s="53">
        <v>35599</v>
      </c>
      <c r="B9" s="83">
        <v>1.1431557386567348</v>
      </c>
      <c r="C9" s="96">
        <v>1.5</v>
      </c>
      <c r="D9" s="86">
        <v>0.7842187970899277</v>
      </c>
      <c r="E9" s="96">
        <v>1.5</v>
      </c>
      <c r="F9" s="86">
        <v>1.1961465731488352</v>
      </c>
      <c r="G9" s="96">
        <v>1.5</v>
      </c>
      <c r="H9" s="86">
        <v>1.2114807493998383</v>
      </c>
      <c r="I9" s="96">
        <v>1.5</v>
      </c>
      <c r="L9" s="53">
        <v>35537</v>
      </c>
      <c r="M9" s="15">
        <v>145</v>
      </c>
      <c r="N9" s="99">
        <f t="shared" si="0"/>
        <v>4.976733742420574</v>
      </c>
      <c r="O9" s="99">
        <f t="shared" si="1"/>
        <v>7.052031713009954</v>
      </c>
      <c r="P9" s="99">
        <f t="shared" si="2"/>
        <v>1.8850317130099539</v>
      </c>
      <c r="Q9" s="99">
        <f t="shared" si="3"/>
        <v>6.58656331845108</v>
      </c>
    </row>
    <row r="10" spans="1:17" ht="12.75">
      <c r="A10" s="53">
        <v>35620.5</v>
      </c>
      <c r="B10" s="83">
        <v>1.0623765116143618</v>
      </c>
      <c r="C10" s="96">
        <v>1.5</v>
      </c>
      <c r="D10" s="86">
        <v>1.035078508551646</v>
      </c>
      <c r="E10" s="96">
        <v>1.5</v>
      </c>
      <c r="F10" s="86">
        <v>1.4272989484626173</v>
      </c>
      <c r="G10" s="96">
        <v>1.5</v>
      </c>
      <c r="H10" s="86">
        <v>1.0623765116143618</v>
      </c>
      <c r="I10" s="96">
        <v>1.5</v>
      </c>
      <c r="L10" s="53">
        <v>35577</v>
      </c>
      <c r="M10" s="13">
        <v>151</v>
      </c>
      <c r="N10" s="99">
        <f t="shared" si="0"/>
        <v>5.017279836814924</v>
      </c>
      <c r="O10" s="99">
        <f t="shared" si="1"/>
        <v>7.109485528766748</v>
      </c>
      <c r="P10" s="99">
        <f t="shared" si="2"/>
        <v>1.9424855287667482</v>
      </c>
      <c r="Q10" s="99">
        <f t="shared" si="3"/>
        <v>6.976068659246523</v>
      </c>
    </row>
    <row r="11" spans="1:17" ht="12.75">
      <c r="A11" s="53">
        <v>35654.520833333336</v>
      </c>
      <c r="B11" s="83">
        <v>1.0714331255850202</v>
      </c>
      <c r="C11" s="96">
        <v>1.5</v>
      </c>
      <c r="D11" s="86">
        <v>0.998371094704865</v>
      </c>
      <c r="E11" s="96">
        <v>1.5</v>
      </c>
      <c r="F11" s="86">
        <v>1.2049154994402966</v>
      </c>
      <c r="G11" s="96">
        <v>1.5</v>
      </c>
      <c r="H11" s="86">
        <v>1.0804688453916855</v>
      </c>
      <c r="I11" s="96">
        <v>1.5</v>
      </c>
      <c r="L11" s="53">
        <v>35599</v>
      </c>
      <c r="M11" s="15">
        <v>101</v>
      </c>
      <c r="N11" s="99">
        <f t="shared" si="0"/>
        <v>4.61512051684126</v>
      </c>
      <c r="O11" s="99">
        <f t="shared" si="1"/>
        <v>6.539625772364065</v>
      </c>
      <c r="P11" s="99">
        <f t="shared" si="2"/>
        <v>1.3726257723640654</v>
      </c>
      <c r="Q11" s="99">
        <f t="shared" si="3"/>
        <v>3.9456976089443834</v>
      </c>
    </row>
    <row r="12" spans="1:17" ht="12.75">
      <c r="A12" s="53">
        <v>35676.48263888889</v>
      </c>
      <c r="B12" s="83">
        <v>1.1074533058868303</v>
      </c>
      <c r="C12" s="96">
        <v>1.5</v>
      </c>
      <c r="D12" s="86">
        <v>1.0623765116143618</v>
      </c>
      <c r="E12" s="96">
        <v>1.5</v>
      </c>
      <c r="F12" s="86">
        <v>1.4523297961697115</v>
      </c>
      <c r="G12" s="96">
        <v>10</v>
      </c>
      <c r="H12" s="86">
        <v>1.1096938519832793</v>
      </c>
      <c r="I12" s="96">
        <v>1.5</v>
      </c>
      <c r="L12" s="53">
        <v>35620.5</v>
      </c>
      <c r="M12" s="13">
        <v>92</v>
      </c>
      <c r="N12" s="99">
        <f t="shared" si="0"/>
        <v>4.5217885770490405</v>
      </c>
      <c r="O12" s="99">
        <f t="shared" si="1"/>
        <v>6.4073744136784905</v>
      </c>
      <c r="P12" s="99">
        <f t="shared" si="2"/>
        <v>1.2403744136784907</v>
      </c>
      <c r="Q12" s="99">
        <f t="shared" si="3"/>
        <v>3.4569075359553194</v>
      </c>
    </row>
    <row r="13" spans="1:17" ht="12.75">
      <c r="A13" s="53">
        <v>35711.399305555555</v>
      </c>
      <c r="B13" s="83">
        <v>0.9798788329993693</v>
      </c>
      <c r="C13" s="96">
        <v>1.5</v>
      </c>
      <c r="D13" s="86">
        <v>1.1608926111226165</v>
      </c>
      <c r="E13" s="96">
        <v>1.5</v>
      </c>
      <c r="F13" s="86">
        <v>1.6163397936760324</v>
      </c>
      <c r="G13" s="54">
        <v>1.5</v>
      </c>
      <c r="H13" s="86">
        <v>1.1134551869810283</v>
      </c>
      <c r="I13" s="96">
        <v>1.5</v>
      </c>
      <c r="L13" s="53">
        <v>35654.520833333336</v>
      </c>
      <c r="M13" s="15">
        <v>93</v>
      </c>
      <c r="N13" s="99">
        <f t="shared" si="0"/>
        <v>4.532599493153256</v>
      </c>
      <c r="O13" s="99">
        <f t="shared" si="1"/>
        <v>6.422693481798165</v>
      </c>
      <c r="P13" s="99">
        <f t="shared" si="2"/>
        <v>1.2556934817981649</v>
      </c>
      <c r="Q13" s="99">
        <f t="shared" si="3"/>
        <v>3.5102718400906703</v>
      </c>
    </row>
    <row r="14" spans="1:17" ht="12.75">
      <c r="A14" s="53">
        <v>35753.43402777778</v>
      </c>
      <c r="B14" s="83">
        <v>1.2571698222041165</v>
      </c>
      <c r="C14" s="96">
        <v>1.5</v>
      </c>
      <c r="D14" s="86">
        <v>1.1253432568590958</v>
      </c>
      <c r="E14" s="96">
        <v>1.5</v>
      </c>
      <c r="F14" s="86">
        <v>1.510283532136396</v>
      </c>
      <c r="G14" s="54">
        <v>1.5</v>
      </c>
      <c r="H14" s="86">
        <v>1.2744554865996702</v>
      </c>
      <c r="I14" s="96">
        <v>1.5</v>
      </c>
      <c r="L14" s="53">
        <v>35676.48263888889</v>
      </c>
      <c r="M14" s="13">
        <v>97</v>
      </c>
      <c r="N14" s="99">
        <f t="shared" si="0"/>
        <v>4.574710978503383</v>
      </c>
      <c r="O14" s="99">
        <f t="shared" si="1"/>
        <v>6.482365456539293</v>
      </c>
      <c r="P14" s="99">
        <f t="shared" si="2"/>
        <v>1.3153654565392934</v>
      </c>
      <c r="Q14" s="99">
        <f t="shared" si="3"/>
        <v>3.7261124686223632</v>
      </c>
    </row>
    <row r="15" spans="1:17" ht="12.75">
      <c r="A15" s="53">
        <v>35782.572916666664</v>
      </c>
      <c r="B15" s="83">
        <v>1.2485026025199886</v>
      </c>
      <c r="C15" s="96">
        <v>1.5</v>
      </c>
      <c r="D15" s="86">
        <v>1.1873600254773125</v>
      </c>
      <c r="E15" s="96">
        <v>1.5</v>
      </c>
      <c r="F15" s="86">
        <v>1.4439993874687784</v>
      </c>
      <c r="G15" s="96">
        <v>1.5</v>
      </c>
      <c r="H15" s="86">
        <v>1.2830742724148425</v>
      </c>
      <c r="I15" s="96">
        <v>1.5</v>
      </c>
      <c r="L15" s="53">
        <v>35711.399305555555</v>
      </c>
      <c r="M15" s="13">
        <v>83</v>
      </c>
      <c r="N15" s="99">
        <f t="shared" si="0"/>
        <v>4.418840607796598</v>
      </c>
      <c r="O15" s="99">
        <f t="shared" si="1"/>
        <v>6.26149714124778</v>
      </c>
      <c r="P15" s="99">
        <f t="shared" si="2"/>
        <v>1.0944971412477802</v>
      </c>
      <c r="Q15" s="99">
        <f t="shared" si="3"/>
        <v>2.9876799245884103</v>
      </c>
    </row>
    <row r="16" spans="4:17" ht="12.75">
      <c r="D16" s="83"/>
      <c r="L16" s="53">
        <v>35753.43402777778</v>
      </c>
      <c r="M16" s="13">
        <v>114</v>
      </c>
      <c r="N16" s="99">
        <f t="shared" si="0"/>
        <v>4.736198448394496</v>
      </c>
      <c r="O16" s="99">
        <f t="shared" si="1"/>
        <v>6.711193201375001</v>
      </c>
      <c r="P16" s="99">
        <f t="shared" si="2"/>
        <v>1.544193201375001</v>
      </c>
      <c r="Q16" s="99">
        <f t="shared" si="3"/>
        <v>4.684190903305726</v>
      </c>
    </row>
    <row r="17" spans="2:17" ht="15.75">
      <c r="B17" s="84" t="s">
        <v>148</v>
      </c>
      <c r="C17" s="85" t="s">
        <v>144</v>
      </c>
      <c r="D17" s="86"/>
      <c r="E17" s="54" t="s">
        <v>185</v>
      </c>
      <c r="F17" s="54"/>
      <c r="G17" s="54"/>
      <c r="H17" s="54"/>
      <c r="I17" s="54"/>
      <c r="L17" s="93">
        <v>35782</v>
      </c>
      <c r="M17" s="1">
        <v>113</v>
      </c>
      <c r="N17" s="99">
        <f t="shared" si="0"/>
        <v>4.727387818712341</v>
      </c>
      <c r="O17" s="99">
        <f t="shared" si="1"/>
        <v>6.698708539115387</v>
      </c>
      <c r="P17" s="99">
        <f t="shared" si="2"/>
        <v>1.531708539115387</v>
      </c>
      <c r="Q17" s="99">
        <f t="shared" si="3"/>
        <v>4.626073902356507</v>
      </c>
    </row>
    <row r="18" spans="2:9" ht="12.75">
      <c r="B18" s="117" t="s">
        <v>11</v>
      </c>
      <c r="C18" s="117"/>
      <c r="D18" s="118" t="s">
        <v>12</v>
      </c>
      <c r="E18" s="118"/>
      <c r="F18" s="117" t="s">
        <v>13</v>
      </c>
      <c r="G18" s="117"/>
      <c r="H18" s="117" t="s">
        <v>136</v>
      </c>
      <c r="I18" s="117"/>
    </row>
    <row r="19" spans="2:12" ht="12.75">
      <c r="B19" s="88" t="s">
        <v>179</v>
      </c>
      <c r="C19" s="87" t="s">
        <v>152</v>
      </c>
      <c r="D19" s="88" t="s">
        <v>179</v>
      </c>
      <c r="E19" s="87" t="s">
        <v>152</v>
      </c>
      <c r="F19" s="88" t="s">
        <v>179</v>
      </c>
      <c r="G19" s="87" t="s">
        <v>152</v>
      </c>
      <c r="H19" s="88" t="s">
        <v>179</v>
      </c>
      <c r="I19" s="87" t="s">
        <v>152</v>
      </c>
      <c r="L19" t="s">
        <v>271</v>
      </c>
    </row>
    <row r="20" spans="1:9" ht="12.75">
      <c r="A20" s="53">
        <v>35471</v>
      </c>
      <c r="B20" s="86">
        <v>6.490222053709677</v>
      </c>
      <c r="C20" s="96">
        <v>20</v>
      </c>
      <c r="D20" s="86">
        <v>4.977949153940403</v>
      </c>
      <c r="E20" s="96">
        <v>20</v>
      </c>
      <c r="F20" s="86">
        <v>7.173271578334037</v>
      </c>
      <c r="G20" s="96">
        <v>20</v>
      </c>
      <c r="H20" s="86">
        <v>5.889899864177526</v>
      </c>
      <c r="I20" s="96">
        <v>20</v>
      </c>
    </row>
    <row r="21" spans="1:14" ht="14.25">
      <c r="A21" s="53">
        <v>35487</v>
      </c>
      <c r="B21" s="86">
        <v>5.642325573757613</v>
      </c>
      <c r="C21" s="96">
        <v>20</v>
      </c>
      <c r="D21" s="86">
        <v>5.642325573757613</v>
      </c>
      <c r="E21" s="96">
        <v>20</v>
      </c>
      <c r="F21" s="86">
        <v>6.910695000976689</v>
      </c>
      <c r="G21" s="96">
        <v>20</v>
      </c>
      <c r="H21" s="86">
        <v>5.869356870066914</v>
      </c>
      <c r="I21" s="96">
        <v>20</v>
      </c>
      <c r="L21" t="s">
        <v>274</v>
      </c>
      <c r="N21" s="54" t="s">
        <v>182</v>
      </c>
    </row>
    <row r="22" spans="1:17" ht="12.75">
      <c r="A22" s="53">
        <v>35501</v>
      </c>
      <c r="B22" s="86">
        <v>7.372083056154704</v>
      </c>
      <c r="C22" s="96">
        <v>20</v>
      </c>
      <c r="D22" s="86">
        <v>6.203722798642502</v>
      </c>
      <c r="E22" s="96">
        <v>40</v>
      </c>
      <c r="F22" s="86">
        <v>6.140575527383056</v>
      </c>
      <c r="G22" s="96">
        <v>20</v>
      </c>
      <c r="H22" s="86">
        <v>6.812975023849755</v>
      </c>
      <c r="I22" s="96">
        <v>65</v>
      </c>
      <c r="M22" t="s">
        <v>136</v>
      </c>
      <c r="N22" s="116" t="s">
        <v>179</v>
      </c>
      <c r="O22" s="116"/>
      <c r="P22" s="116"/>
      <c r="Q22" s="116"/>
    </row>
    <row r="23" spans="1:17" ht="12.75">
      <c r="A23" s="53">
        <v>35537</v>
      </c>
      <c r="B23" s="86">
        <v>6.58656331845108</v>
      </c>
      <c r="C23" s="96">
        <v>20</v>
      </c>
      <c r="D23" s="86">
        <v>5.642325573757613</v>
      </c>
      <c r="E23" s="96">
        <v>20</v>
      </c>
      <c r="F23" s="86">
        <v>7.041623103277415</v>
      </c>
      <c r="G23" s="96">
        <v>20</v>
      </c>
      <c r="H23" s="86">
        <v>6.410257652035544</v>
      </c>
      <c r="I23" s="96">
        <f>0.0175*1000</f>
        <v>17.5</v>
      </c>
      <c r="M23" t="s">
        <v>175</v>
      </c>
      <c r="N23" s="97" t="s">
        <v>138</v>
      </c>
      <c r="O23" s="97" t="s">
        <v>275</v>
      </c>
      <c r="P23" s="97" t="s">
        <v>276</v>
      </c>
      <c r="Q23" s="98" t="s">
        <v>280</v>
      </c>
    </row>
    <row r="24" spans="1:17" ht="12.75">
      <c r="A24" s="53">
        <v>35577</v>
      </c>
      <c r="B24" s="86">
        <v>6.976068659246523</v>
      </c>
      <c r="C24" s="96">
        <v>20</v>
      </c>
      <c r="D24" s="86">
        <v>2.7857234519310734</v>
      </c>
      <c r="E24" s="96">
        <v>20</v>
      </c>
      <c r="F24" s="86">
        <v>5.037328084389702</v>
      </c>
      <c r="G24" s="96">
        <v>20</v>
      </c>
      <c r="H24" s="86">
        <v>7.041623103277415</v>
      </c>
      <c r="I24" s="96">
        <v>20</v>
      </c>
      <c r="L24" s="53">
        <v>35471</v>
      </c>
      <c r="M24" s="15">
        <v>134</v>
      </c>
      <c r="N24" s="83">
        <f>LN(M24)</f>
        <v>4.897839799950911</v>
      </c>
      <c r="O24" s="83">
        <f>1.72*N24</f>
        <v>8.424284455915567</v>
      </c>
      <c r="P24" s="83">
        <f>+O24-7.21</f>
        <v>1.2142844559155668</v>
      </c>
      <c r="Q24" s="83">
        <f>EXP(P24)</f>
        <v>3.367883332936231</v>
      </c>
    </row>
    <row r="25" spans="1:17" ht="12.75">
      <c r="A25" s="53">
        <v>35599</v>
      </c>
      <c r="B25" s="86">
        <v>3.9456976089443834</v>
      </c>
      <c r="C25" s="96">
        <v>20</v>
      </c>
      <c r="D25" s="86">
        <v>1.9987680402750256</v>
      </c>
      <c r="E25" s="96">
        <v>30</v>
      </c>
      <c r="F25" s="86">
        <v>4.281906945721976</v>
      </c>
      <c r="G25" s="96">
        <v>100</v>
      </c>
      <c r="H25" s="86">
        <v>4.381478464244387</v>
      </c>
      <c r="I25" s="96">
        <f>0.025*1000</f>
        <v>25</v>
      </c>
      <c r="L25" s="53">
        <v>35487</v>
      </c>
      <c r="M25" s="15">
        <v>133.67</v>
      </c>
      <c r="N25" s="83">
        <f aca="true" t="shared" si="4" ref="N25:N35">LN(M25)</f>
        <v>4.895374075983382</v>
      </c>
      <c r="O25" s="83">
        <f aca="true" t="shared" si="5" ref="O25:O35">1.72*N25</f>
        <v>8.420043410691417</v>
      </c>
      <c r="P25" s="83">
        <f aca="true" t="shared" si="6" ref="P25:P35">+O25-7.21</f>
        <v>1.2100434106914166</v>
      </c>
      <c r="Q25" s="83">
        <f aca="true" t="shared" si="7" ref="Q25:Q35">EXP(P25)</f>
        <v>3.353630232796293</v>
      </c>
    </row>
    <row r="26" spans="1:17" ht="12.75">
      <c r="A26" s="53">
        <v>35620.5</v>
      </c>
      <c r="B26" s="86">
        <v>3.4569075359553194</v>
      </c>
      <c r="C26" s="96">
        <v>40</v>
      </c>
      <c r="D26" s="86">
        <v>3.2982688367840014</v>
      </c>
      <c r="E26" s="96">
        <v>40</v>
      </c>
      <c r="F26" s="86">
        <v>5.889899864177526</v>
      </c>
      <c r="G26" s="96">
        <v>20</v>
      </c>
      <c r="H26" s="86">
        <v>3.4569075359553194</v>
      </c>
      <c r="I26" s="96">
        <v>20</v>
      </c>
      <c r="L26" s="53">
        <v>35501</v>
      </c>
      <c r="M26" s="15">
        <v>158.5</v>
      </c>
      <c r="N26" s="83">
        <f t="shared" si="4"/>
        <v>5.065754593317335</v>
      </c>
      <c r="O26" s="83">
        <f t="shared" si="5"/>
        <v>8.713097900505815</v>
      </c>
      <c r="P26" s="83">
        <f t="shared" si="6"/>
        <v>1.5030979005058152</v>
      </c>
      <c r="Q26" s="83">
        <f t="shared" si="7"/>
        <v>4.495594424757425</v>
      </c>
    </row>
    <row r="27" spans="1:17" ht="12.75">
      <c r="A27" s="53">
        <v>35654.520833333336</v>
      </c>
      <c r="B27" s="86">
        <v>3.5102718400906703</v>
      </c>
      <c r="C27" s="96">
        <v>20</v>
      </c>
      <c r="D27" s="86">
        <v>3.0902031418468687</v>
      </c>
      <c r="E27" s="96">
        <v>20</v>
      </c>
      <c r="F27" s="86">
        <v>4.338722495194019</v>
      </c>
      <c r="G27" s="96">
        <v>20</v>
      </c>
      <c r="H27" s="86">
        <v>3.5638759637961046</v>
      </c>
      <c r="I27" s="96">
        <v>20</v>
      </c>
      <c r="L27" s="53">
        <v>35537</v>
      </c>
      <c r="M27" s="15">
        <v>142.25</v>
      </c>
      <c r="N27" s="83">
        <f t="shared" si="4"/>
        <v>4.95758607300644</v>
      </c>
      <c r="O27" s="83">
        <f t="shared" si="5"/>
        <v>8.527048045571076</v>
      </c>
      <c r="P27" s="83">
        <f t="shared" si="6"/>
        <v>1.3170480455710765</v>
      </c>
      <c r="Q27" s="83">
        <f t="shared" si="7"/>
        <v>3.7323872620621827</v>
      </c>
    </row>
    <row r="28" spans="1:17" ht="12.75">
      <c r="A28" s="53">
        <v>35676.48263888889</v>
      </c>
      <c r="B28" s="86">
        <v>3.7261124686223632</v>
      </c>
      <c r="C28" s="96">
        <v>20</v>
      </c>
      <c r="D28" s="86">
        <v>3.4569075359553194</v>
      </c>
      <c r="E28" s="96">
        <v>20</v>
      </c>
      <c r="F28" s="86">
        <v>6.077618784016169</v>
      </c>
      <c r="G28" s="96">
        <v>100</v>
      </c>
      <c r="H28" s="86">
        <v>3.739727770722882</v>
      </c>
      <c r="I28" s="96">
        <v>20</v>
      </c>
      <c r="L28" s="53">
        <v>35577</v>
      </c>
      <c r="M28" s="13">
        <v>152</v>
      </c>
      <c r="N28" s="83">
        <f t="shared" si="4"/>
        <v>5.0238805208462765</v>
      </c>
      <c r="O28" s="83">
        <f t="shared" si="5"/>
        <v>8.641074495855595</v>
      </c>
      <c r="P28" s="83">
        <f t="shared" si="6"/>
        <v>1.4310744958555945</v>
      </c>
      <c r="Q28" s="83">
        <f t="shared" si="7"/>
        <v>4.183191599991447</v>
      </c>
    </row>
    <row r="29" spans="1:17" ht="12.75">
      <c r="A29" s="53">
        <v>35711.399305555555</v>
      </c>
      <c r="B29" s="86">
        <v>2.9876799245884103</v>
      </c>
      <c r="C29" s="96">
        <v>20</v>
      </c>
      <c r="D29" s="86">
        <v>4.05686690052124</v>
      </c>
      <c r="E29" s="96">
        <v>20</v>
      </c>
      <c r="F29" s="86">
        <v>7.372083056154704</v>
      </c>
      <c r="G29" s="96">
        <v>20</v>
      </c>
      <c r="H29" s="86">
        <v>3.7637261571381315</v>
      </c>
      <c r="I29" s="96">
        <v>20</v>
      </c>
      <c r="L29" s="53">
        <v>35599</v>
      </c>
      <c r="M29" s="15">
        <v>108.75</v>
      </c>
      <c r="N29" s="83">
        <f t="shared" si="4"/>
        <v>4.689051669968793</v>
      </c>
      <c r="O29" s="83">
        <f t="shared" si="5"/>
        <v>8.065168872346325</v>
      </c>
      <c r="P29" s="83">
        <f t="shared" si="6"/>
        <v>0.8551688723463249</v>
      </c>
      <c r="Q29" s="83">
        <f t="shared" si="7"/>
        <v>2.351771496213619</v>
      </c>
    </row>
    <row r="30" spans="1:17" ht="12.75">
      <c r="A30" s="53">
        <v>35753.43402777778</v>
      </c>
      <c r="B30" s="86">
        <v>4.684190903305726</v>
      </c>
      <c r="C30" s="96">
        <v>20</v>
      </c>
      <c r="D30" s="86">
        <v>3.835442557003892</v>
      </c>
      <c r="E30" s="96">
        <v>20</v>
      </c>
      <c r="F30" s="86">
        <v>6.522289375376809</v>
      </c>
      <c r="G30" s="96">
        <v>20</v>
      </c>
      <c r="H30" s="86">
        <v>4.801062755476187</v>
      </c>
      <c r="I30" s="96">
        <v>20</v>
      </c>
      <c r="L30" s="53">
        <v>35620.5</v>
      </c>
      <c r="M30" s="13">
        <v>92</v>
      </c>
      <c r="N30" s="83">
        <f t="shared" si="4"/>
        <v>4.5217885770490405</v>
      </c>
      <c r="O30" s="83">
        <f t="shared" si="5"/>
        <v>7.777476352524349</v>
      </c>
      <c r="P30" s="83">
        <f t="shared" si="6"/>
        <v>0.5674763525243494</v>
      </c>
      <c r="Q30" s="83">
        <f t="shared" si="7"/>
        <v>1.763810194885897</v>
      </c>
    </row>
    <row r="31" spans="1:17" ht="12.75">
      <c r="A31" s="53">
        <v>35782.572916666664</v>
      </c>
      <c r="B31" s="86">
        <v>4.626073902356507</v>
      </c>
      <c r="C31" s="96">
        <v>20</v>
      </c>
      <c r="D31" s="86">
        <v>4.225312389237063</v>
      </c>
      <c r="E31" s="96">
        <v>20</v>
      </c>
      <c r="F31" s="86">
        <v>6.014853378110049</v>
      </c>
      <c r="G31" s="96">
        <v>20</v>
      </c>
      <c r="H31" s="86">
        <v>4.859815458106412</v>
      </c>
      <c r="I31" s="96">
        <v>20</v>
      </c>
      <c r="L31" s="53">
        <v>35654.520833333336</v>
      </c>
      <c r="M31" s="15">
        <v>94</v>
      </c>
      <c r="N31" s="83">
        <f t="shared" si="4"/>
        <v>4.543294782270004</v>
      </c>
      <c r="O31" s="83">
        <f t="shared" si="5"/>
        <v>7.814467025504406</v>
      </c>
      <c r="P31" s="83">
        <f t="shared" si="6"/>
        <v>0.6044670255044062</v>
      </c>
      <c r="Q31" s="83">
        <f t="shared" si="7"/>
        <v>1.8302764582116469</v>
      </c>
    </row>
    <row r="32" spans="12:17" ht="12.75">
      <c r="L32" s="53">
        <v>35676.48263888889</v>
      </c>
      <c r="M32" s="13">
        <v>97.25</v>
      </c>
      <c r="N32" s="83">
        <f t="shared" si="4"/>
        <v>4.577284982498556</v>
      </c>
      <c r="O32" s="83">
        <f t="shared" si="5"/>
        <v>7.872930169897516</v>
      </c>
      <c r="P32" s="83">
        <f t="shared" si="6"/>
        <v>0.6629301698975159</v>
      </c>
      <c r="Q32" s="83">
        <f t="shared" si="7"/>
        <v>1.940469918739337</v>
      </c>
    </row>
    <row r="33" spans="2:17" ht="15.75">
      <c r="B33" s="84" t="s">
        <v>151</v>
      </c>
      <c r="C33" s="85" t="s">
        <v>142</v>
      </c>
      <c r="D33" s="54"/>
      <c r="E33" s="54" t="s">
        <v>182</v>
      </c>
      <c r="F33" s="54"/>
      <c r="G33" s="54"/>
      <c r="H33" s="54"/>
      <c r="I33" s="54"/>
      <c r="L33" s="53">
        <v>35711.399305555555</v>
      </c>
      <c r="M33" s="13">
        <v>97.67</v>
      </c>
      <c r="N33" s="83">
        <f t="shared" si="4"/>
        <v>4.581594449459386</v>
      </c>
      <c r="O33" s="83">
        <f t="shared" si="5"/>
        <v>7.880342453070144</v>
      </c>
      <c r="P33" s="83">
        <f t="shared" si="6"/>
        <v>0.6703424530701438</v>
      </c>
      <c r="Q33" s="83">
        <f t="shared" si="7"/>
        <v>1.9549066698099793</v>
      </c>
    </row>
    <row r="34" spans="2:17" ht="12.75">
      <c r="B34" s="117" t="s">
        <v>11</v>
      </c>
      <c r="C34" s="117"/>
      <c r="D34" s="117" t="s">
        <v>12</v>
      </c>
      <c r="E34" s="117"/>
      <c r="F34" s="117" t="s">
        <v>13</v>
      </c>
      <c r="G34" s="117"/>
      <c r="H34" s="117" t="s">
        <v>136</v>
      </c>
      <c r="I34" s="117"/>
      <c r="L34" s="53">
        <v>35753.43402777778</v>
      </c>
      <c r="M34" s="13">
        <v>116</v>
      </c>
      <c r="N34" s="83">
        <f t="shared" si="4"/>
        <v>4.7535901911063645</v>
      </c>
      <c r="O34" s="83">
        <f t="shared" si="5"/>
        <v>8.176175128702948</v>
      </c>
      <c r="P34" s="83">
        <f t="shared" si="6"/>
        <v>0.9661751287029476</v>
      </c>
      <c r="Q34" s="83">
        <f t="shared" si="7"/>
        <v>2.62787393281964</v>
      </c>
    </row>
    <row r="35" spans="2:17" ht="12.75">
      <c r="B35" s="88" t="s">
        <v>179</v>
      </c>
      <c r="C35" s="87" t="s">
        <v>152</v>
      </c>
      <c r="D35" s="88" t="s">
        <v>179</v>
      </c>
      <c r="E35" s="87" t="s">
        <v>152</v>
      </c>
      <c r="F35" s="88" t="s">
        <v>179</v>
      </c>
      <c r="G35" s="87" t="s">
        <v>152</v>
      </c>
      <c r="H35" s="88" t="s">
        <v>179</v>
      </c>
      <c r="I35" s="87" t="s">
        <v>152</v>
      </c>
      <c r="L35" s="93">
        <v>35782</v>
      </c>
      <c r="M35" s="1">
        <v>117</v>
      </c>
      <c r="N35" s="83">
        <f t="shared" si="4"/>
        <v>4.762173934797756</v>
      </c>
      <c r="O35" s="83">
        <f t="shared" si="5"/>
        <v>8.190939167852141</v>
      </c>
      <c r="P35" s="83">
        <f t="shared" si="6"/>
        <v>0.9809391678521413</v>
      </c>
      <c r="Q35" s="83">
        <f t="shared" si="7"/>
        <v>2.6669597890167265</v>
      </c>
    </row>
    <row r="36" spans="1:9" ht="12.75">
      <c r="A36" s="53">
        <v>35471</v>
      </c>
      <c r="B36" s="83"/>
      <c r="C36" s="54"/>
      <c r="D36" s="83"/>
      <c r="E36" s="54"/>
      <c r="F36" s="83"/>
      <c r="G36" s="54"/>
      <c r="H36" s="83"/>
      <c r="I36" s="54"/>
    </row>
    <row r="37" spans="1:12" ht="12.75">
      <c r="A37" s="53">
        <v>35487</v>
      </c>
      <c r="B37" s="83"/>
      <c r="C37" s="54"/>
      <c r="D37" s="83"/>
      <c r="E37" s="54" t="s">
        <v>156</v>
      </c>
      <c r="F37" s="83"/>
      <c r="G37" s="54"/>
      <c r="H37" s="83"/>
      <c r="I37" s="54"/>
      <c r="L37" t="s">
        <v>271</v>
      </c>
    </row>
    <row r="38" spans="1:9" ht="12.75">
      <c r="A38" s="53">
        <v>35501</v>
      </c>
      <c r="B38" s="83">
        <v>4.422666457838931</v>
      </c>
      <c r="C38" s="54">
        <v>2.5</v>
      </c>
      <c r="D38" s="86">
        <v>3.5869245533945278</v>
      </c>
      <c r="E38" s="54">
        <v>2.5</v>
      </c>
      <c r="F38" s="83">
        <v>3.5426546189313743</v>
      </c>
      <c r="G38" s="54">
        <v>2.5</v>
      </c>
      <c r="H38" s="86">
        <v>4.495594424757425</v>
      </c>
      <c r="I38" s="54">
        <v>2.5</v>
      </c>
    </row>
    <row r="39" spans="1:14" ht="14.25">
      <c r="A39" s="53">
        <v>35537</v>
      </c>
      <c r="B39" s="83"/>
      <c r="C39" s="54"/>
      <c r="D39" s="83"/>
      <c r="E39" s="54"/>
      <c r="F39" s="83"/>
      <c r="G39" s="54"/>
      <c r="H39" s="86"/>
      <c r="I39" s="54"/>
      <c r="L39" t="s">
        <v>277</v>
      </c>
      <c r="N39" s="54" t="s">
        <v>181</v>
      </c>
    </row>
    <row r="40" spans="1:17" ht="12.75">
      <c r="A40" s="53">
        <v>35577</v>
      </c>
      <c r="B40" s="83">
        <v>4.135967665356274</v>
      </c>
      <c r="C40" s="54">
        <v>2.5</v>
      </c>
      <c r="D40" s="86">
        <v>1.3572360372808119</v>
      </c>
      <c r="E40" s="96">
        <v>2.5</v>
      </c>
      <c r="F40" s="83">
        <v>2.7856626977461443</v>
      </c>
      <c r="G40" s="54">
        <v>2.5</v>
      </c>
      <c r="H40" s="86">
        <v>4.183191599991447</v>
      </c>
      <c r="I40" s="54">
        <v>2.5</v>
      </c>
      <c r="M40" t="s">
        <v>13</v>
      </c>
      <c r="N40" s="116" t="s">
        <v>179</v>
      </c>
      <c r="O40" s="116"/>
      <c r="P40" s="116"/>
      <c r="Q40" s="116"/>
    </row>
    <row r="41" spans="1:17" ht="12.75">
      <c r="A41" s="53">
        <v>35599</v>
      </c>
      <c r="B41" s="83"/>
      <c r="C41" s="54"/>
      <c r="D41" s="83"/>
      <c r="E41" s="54"/>
      <c r="F41" s="83"/>
      <c r="G41" s="54"/>
      <c r="H41" s="83"/>
      <c r="I41" s="54"/>
      <c r="M41" t="s">
        <v>175</v>
      </c>
      <c r="N41" s="97" t="s">
        <v>138</v>
      </c>
      <c r="O41" s="97" t="s">
        <v>275</v>
      </c>
      <c r="P41" s="97" t="s">
        <v>279</v>
      </c>
      <c r="Q41" s="98" t="s">
        <v>281</v>
      </c>
    </row>
    <row r="42" spans="1:17" ht="12.75">
      <c r="A42" s="53">
        <v>35620.5</v>
      </c>
      <c r="B42" s="83">
        <v>1.763810194885897</v>
      </c>
      <c r="C42" s="96">
        <v>2.5</v>
      </c>
      <c r="D42" s="86">
        <v>1.6660483350174005</v>
      </c>
      <c r="E42" s="96">
        <v>2.5</v>
      </c>
      <c r="F42" s="83">
        <v>3.367883332936231</v>
      </c>
      <c r="G42" s="54">
        <v>2.5</v>
      </c>
      <c r="H42" s="86">
        <v>1.763810194885897</v>
      </c>
      <c r="I42" s="96">
        <v>2.5</v>
      </c>
      <c r="L42" s="53">
        <v>35471</v>
      </c>
      <c r="M42" s="15">
        <v>154</v>
      </c>
      <c r="N42" s="83">
        <f>LN(M42)</f>
        <v>5.0369526024136295</v>
      </c>
      <c r="O42" s="83">
        <f>1.72*N42</f>
        <v>8.663558476151442</v>
      </c>
      <c r="P42" s="83">
        <f>+O42-9.06</f>
        <v>-0.3964415238485586</v>
      </c>
      <c r="Q42" s="83">
        <f>EXP(P42)</f>
        <v>0.6727096130203131</v>
      </c>
    </row>
    <row r="43" spans="1:17" ht="12.75">
      <c r="A43" s="53">
        <v>35654.520833333336</v>
      </c>
      <c r="B43" s="83"/>
      <c r="C43" s="54"/>
      <c r="D43" s="83"/>
      <c r="E43" s="54"/>
      <c r="F43" s="83"/>
      <c r="G43" s="54"/>
      <c r="H43" s="83"/>
      <c r="I43" s="54"/>
      <c r="L43" s="53">
        <v>35487</v>
      </c>
      <c r="M43" s="15">
        <v>150</v>
      </c>
      <c r="N43" s="83">
        <f aca="true" t="shared" si="8" ref="N43:N53">LN(M43)</f>
        <v>5.0106352940962555</v>
      </c>
      <c r="O43" s="83">
        <f aca="true" t="shared" si="9" ref="O43:O53">1.72*N43</f>
        <v>8.61829270584556</v>
      </c>
      <c r="P43" s="83">
        <f aca="true" t="shared" si="10" ref="P43:P53">+O43-9.06</f>
        <v>-0.44170729415444043</v>
      </c>
      <c r="Q43" s="83">
        <f aca="true" t="shared" si="11" ref="Q43:Q53">EXP(P43)</f>
        <v>0.6429377995680847</v>
      </c>
    </row>
    <row r="44" spans="1:17" ht="12.75">
      <c r="A44" s="53">
        <v>35676.48263888889</v>
      </c>
      <c r="B44" s="83"/>
      <c r="C44" s="54"/>
      <c r="D44" s="83"/>
      <c r="E44" s="54"/>
      <c r="F44" s="83"/>
      <c r="G44" s="54"/>
      <c r="H44" s="83"/>
      <c r="I44" s="54"/>
      <c r="L44" s="53">
        <v>35501</v>
      </c>
      <c r="M44" s="15">
        <v>138</v>
      </c>
      <c r="N44" s="83">
        <f t="shared" si="8"/>
        <v>4.927253685157205</v>
      </c>
      <c r="O44" s="83">
        <f t="shared" si="9"/>
        <v>8.474876338470393</v>
      </c>
      <c r="P44" s="83">
        <f t="shared" si="10"/>
        <v>-0.5851236615296074</v>
      </c>
      <c r="Q44" s="83">
        <f t="shared" si="11"/>
        <v>0.5570369735086532</v>
      </c>
    </row>
    <row r="45" spans="1:17" ht="12.75">
      <c r="A45" s="53">
        <v>35711.399305555555</v>
      </c>
      <c r="B45" s="83">
        <v>1.4775803414122959</v>
      </c>
      <c r="C45" s="96">
        <v>2.5</v>
      </c>
      <c r="D45" s="86">
        <v>2.141986907556422</v>
      </c>
      <c r="E45" s="96">
        <v>2.5</v>
      </c>
      <c r="F45" s="83">
        <v>4.422666457838931</v>
      </c>
      <c r="G45" s="54">
        <v>2.5</v>
      </c>
      <c r="H45" s="86">
        <v>1.9549066698099793</v>
      </c>
      <c r="I45" s="96">
        <v>2.5</v>
      </c>
      <c r="L45" s="53">
        <v>35537</v>
      </c>
      <c r="M45" s="15">
        <v>152</v>
      </c>
      <c r="N45" s="83">
        <f t="shared" si="8"/>
        <v>5.0238805208462765</v>
      </c>
      <c r="O45" s="83">
        <f t="shared" si="9"/>
        <v>8.641074495855595</v>
      </c>
      <c r="P45" s="83">
        <f t="shared" si="10"/>
        <v>-0.418925504144406</v>
      </c>
      <c r="Q45" s="83">
        <f t="shared" si="11"/>
        <v>0.6577531933296248</v>
      </c>
    </row>
    <row r="46" spans="1:17" ht="12.75">
      <c r="A46" s="53">
        <v>35753.43402777778</v>
      </c>
      <c r="B46" s="83"/>
      <c r="C46" s="54"/>
      <c r="D46" s="83"/>
      <c r="E46" s="54"/>
      <c r="F46" s="83"/>
      <c r="G46" s="54"/>
      <c r="H46" s="83"/>
      <c r="I46" s="54"/>
      <c r="L46" s="53">
        <v>35577</v>
      </c>
      <c r="M46" s="13">
        <v>120</v>
      </c>
      <c r="N46" s="83">
        <f t="shared" si="8"/>
        <v>4.787491742782046</v>
      </c>
      <c r="O46" s="83">
        <f t="shared" si="9"/>
        <v>8.23448579758512</v>
      </c>
      <c r="P46" s="83">
        <f t="shared" si="10"/>
        <v>-0.8255142024148814</v>
      </c>
      <c r="Q46" s="83">
        <f t="shared" si="11"/>
        <v>0.43800970889917884</v>
      </c>
    </row>
    <row r="47" spans="1:17" ht="12.75">
      <c r="A47" s="53">
        <v>35782.572916666664</v>
      </c>
      <c r="B47" s="83"/>
      <c r="C47" s="54"/>
      <c r="D47" s="83"/>
      <c r="E47" s="54"/>
      <c r="F47" s="83"/>
      <c r="G47" s="54"/>
      <c r="H47" s="83"/>
      <c r="I47" s="54"/>
      <c r="L47" s="53">
        <v>35599</v>
      </c>
      <c r="M47" s="15">
        <v>107</v>
      </c>
      <c r="N47" s="83">
        <f t="shared" si="8"/>
        <v>4.672828834461906</v>
      </c>
      <c r="O47" s="83">
        <f t="shared" si="9"/>
        <v>8.037265595274478</v>
      </c>
      <c r="P47" s="83">
        <f t="shared" si="10"/>
        <v>-1.0227344047255222</v>
      </c>
      <c r="Q47" s="83">
        <f t="shared" si="11"/>
        <v>0.3596102745154095</v>
      </c>
    </row>
    <row r="48" spans="12:17" ht="12.75">
      <c r="L48" s="53">
        <v>35620.5</v>
      </c>
      <c r="M48" s="13">
        <v>134</v>
      </c>
      <c r="N48" s="83">
        <f t="shared" si="8"/>
        <v>4.897839799950911</v>
      </c>
      <c r="O48" s="83">
        <f t="shared" si="9"/>
        <v>8.424284455915567</v>
      </c>
      <c r="P48" s="83">
        <f t="shared" si="10"/>
        <v>-0.6357155440844338</v>
      </c>
      <c r="Q48" s="83">
        <f t="shared" si="11"/>
        <v>0.5295564317457884</v>
      </c>
    </row>
    <row r="49" spans="2:17" ht="15.75">
      <c r="B49" s="84" t="s">
        <v>151</v>
      </c>
      <c r="C49" s="85" t="s">
        <v>144</v>
      </c>
      <c r="D49" s="54"/>
      <c r="E49" s="54" t="s">
        <v>181</v>
      </c>
      <c r="F49" s="54"/>
      <c r="G49" s="54"/>
      <c r="H49" s="54"/>
      <c r="I49" s="54"/>
      <c r="L49" s="53">
        <v>35654.520833333336</v>
      </c>
      <c r="M49" s="15">
        <v>108</v>
      </c>
      <c r="N49" s="83">
        <f t="shared" si="8"/>
        <v>4.68213122712422</v>
      </c>
      <c r="O49" s="83">
        <f t="shared" si="9"/>
        <v>8.053265710653658</v>
      </c>
      <c r="P49" s="83">
        <f t="shared" si="10"/>
        <v>-1.0067342893463422</v>
      </c>
      <c r="Q49" s="83">
        <f t="shared" si="11"/>
        <v>0.36541035766261293</v>
      </c>
    </row>
    <row r="50" spans="2:17" ht="12.75">
      <c r="B50" s="117" t="s">
        <v>11</v>
      </c>
      <c r="C50" s="117"/>
      <c r="D50" s="117" t="s">
        <v>12</v>
      </c>
      <c r="E50" s="117"/>
      <c r="F50" s="117" t="s">
        <v>13</v>
      </c>
      <c r="G50" s="117"/>
      <c r="H50" s="117" t="s">
        <v>136</v>
      </c>
      <c r="I50" s="117"/>
      <c r="L50" s="53">
        <v>35676.48263888889</v>
      </c>
      <c r="M50" s="13">
        <v>137</v>
      </c>
      <c r="N50" s="83">
        <f t="shared" si="8"/>
        <v>4.919980925828125</v>
      </c>
      <c r="O50" s="83">
        <f t="shared" si="9"/>
        <v>8.462367192424376</v>
      </c>
      <c r="P50" s="83">
        <f t="shared" si="10"/>
        <v>-0.597632807575625</v>
      </c>
      <c r="Q50" s="83">
        <f t="shared" si="11"/>
        <v>0.550112317715863</v>
      </c>
    </row>
    <row r="51" spans="2:17" ht="12.75">
      <c r="B51" s="88" t="s">
        <v>179</v>
      </c>
      <c r="C51" s="87" t="s">
        <v>152</v>
      </c>
      <c r="D51" s="88" t="s">
        <v>179</v>
      </c>
      <c r="E51" s="87" t="s">
        <v>152</v>
      </c>
      <c r="F51" s="88" t="s">
        <v>179</v>
      </c>
      <c r="G51" s="87" t="s">
        <v>152</v>
      </c>
      <c r="H51" s="88" t="s">
        <v>179</v>
      </c>
      <c r="I51" s="87" t="s">
        <v>152</v>
      </c>
      <c r="L51" s="53">
        <v>35711.399305555555</v>
      </c>
      <c r="M51" s="13">
        <v>157</v>
      </c>
      <c r="N51" s="83">
        <f t="shared" si="8"/>
        <v>5.056245805348308</v>
      </c>
      <c r="O51" s="83">
        <f t="shared" si="9"/>
        <v>8.696742785199088</v>
      </c>
      <c r="P51" s="83">
        <f t="shared" si="10"/>
        <v>-0.3632572148009121</v>
      </c>
      <c r="Q51" s="83">
        <f t="shared" si="11"/>
        <v>0.695407541380922</v>
      </c>
    </row>
    <row r="52" spans="1:17" ht="12.75">
      <c r="A52" s="53">
        <v>35471</v>
      </c>
      <c r="C52" s="54"/>
      <c r="D52" s="86"/>
      <c r="E52" s="54"/>
      <c r="F52" s="86"/>
      <c r="G52" s="54"/>
      <c r="H52" s="86"/>
      <c r="I52" s="54"/>
      <c r="L52" s="53">
        <v>35753.43402777778</v>
      </c>
      <c r="M52" s="13">
        <v>144</v>
      </c>
      <c r="N52" s="83">
        <f t="shared" si="8"/>
        <v>4.969813299576001</v>
      </c>
      <c r="O52" s="83">
        <f t="shared" si="9"/>
        <v>8.548078875270722</v>
      </c>
      <c r="P52" s="83">
        <f t="shared" si="10"/>
        <v>-0.5119211247292785</v>
      </c>
      <c r="Q52" s="83">
        <f t="shared" si="11"/>
        <v>0.5993430593272979</v>
      </c>
    </row>
    <row r="53" spans="1:17" ht="12.75">
      <c r="A53" s="53">
        <v>35487</v>
      </c>
      <c r="B53" s="54"/>
      <c r="C53" s="54"/>
      <c r="D53" s="86"/>
      <c r="E53" s="54" t="s">
        <v>156</v>
      </c>
      <c r="F53" s="86"/>
      <c r="G53" s="54"/>
      <c r="H53" s="86"/>
      <c r="I53" s="54"/>
      <c r="L53" s="93">
        <v>35782</v>
      </c>
      <c r="M53" s="1">
        <v>136</v>
      </c>
      <c r="N53" s="83">
        <f t="shared" si="8"/>
        <v>4.912654885736052</v>
      </c>
      <c r="O53" s="83">
        <f t="shared" si="9"/>
        <v>8.44976640346601</v>
      </c>
      <c r="P53" s="83">
        <f t="shared" si="10"/>
        <v>-0.6102335965339911</v>
      </c>
      <c r="Q53" s="83">
        <f t="shared" si="11"/>
        <v>0.5432239590181946</v>
      </c>
    </row>
    <row r="54" spans="1:9" ht="12.75">
      <c r="A54" s="53">
        <v>35501</v>
      </c>
      <c r="B54" s="86">
        <v>0.695407541380922</v>
      </c>
      <c r="C54" s="96">
        <v>2.5</v>
      </c>
      <c r="D54" s="86">
        <v>0.5639978525565296</v>
      </c>
      <c r="E54" s="96">
        <v>2.5</v>
      </c>
      <c r="F54" s="86">
        <v>0.5570369735086532</v>
      </c>
      <c r="G54" s="96">
        <v>2.5</v>
      </c>
      <c r="H54" s="86">
        <v>0.7068745282441999</v>
      </c>
      <c r="I54" s="96">
        <v>2.5</v>
      </c>
    </row>
    <row r="55" spans="1:9" ht="12.75">
      <c r="A55" s="53">
        <v>35537</v>
      </c>
      <c r="B55" s="86"/>
      <c r="C55" s="54"/>
      <c r="D55" s="86"/>
      <c r="E55" s="54"/>
      <c r="F55" s="86"/>
      <c r="G55" s="54"/>
      <c r="H55" s="86"/>
      <c r="I55" s="54"/>
    </row>
    <row r="56" spans="1:9" ht="12.75">
      <c r="A56" s="53">
        <v>35577</v>
      </c>
      <c r="B56" s="86">
        <v>0.6503278356654103</v>
      </c>
      <c r="C56" s="96">
        <v>2.5</v>
      </c>
      <c r="D56" s="86">
        <v>0.2134079485207718</v>
      </c>
      <c r="E56" s="96">
        <v>2.5</v>
      </c>
      <c r="F56" s="86">
        <v>0.43800970889917884</v>
      </c>
      <c r="G56" s="96">
        <v>2.5</v>
      </c>
      <c r="H56" s="86">
        <v>0.6577531933296248</v>
      </c>
      <c r="I56" s="96">
        <v>2.5</v>
      </c>
    </row>
    <row r="57" spans="1:9" ht="12.75">
      <c r="A57" s="53">
        <v>35599</v>
      </c>
      <c r="B57" s="86"/>
      <c r="C57" s="54"/>
      <c r="D57" s="86"/>
      <c r="E57" s="54"/>
      <c r="F57" s="86"/>
      <c r="G57" s="54"/>
      <c r="H57" s="86"/>
      <c r="I57" s="54"/>
    </row>
    <row r="58" spans="1:9" ht="12.75">
      <c r="A58" s="53">
        <v>35620.5</v>
      </c>
      <c r="B58" s="86">
        <v>0.2773365169589456</v>
      </c>
      <c r="C58" s="96">
        <v>2.5</v>
      </c>
      <c r="D58" s="86">
        <v>0.26196471913967323</v>
      </c>
      <c r="E58" s="96">
        <v>2.5</v>
      </c>
      <c r="F58" s="86">
        <v>0.5295564317457884</v>
      </c>
      <c r="G58" s="96">
        <v>2.5</v>
      </c>
      <c r="H58" s="86">
        <v>0.2773365169589456</v>
      </c>
      <c r="I58" s="96">
        <v>2.5</v>
      </c>
    </row>
    <row r="59" spans="1:9" ht="12.75">
      <c r="A59" s="53">
        <v>35654.520833333336</v>
      </c>
      <c r="B59" s="86"/>
      <c r="C59" s="54"/>
      <c r="D59" s="86"/>
      <c r="E59" s="54"/>
      <c r="F59" s="86"/>
      <c r="G59" s="54"/>
      <c r="H59" s="86"/>
      <c r="I59" s="54"/>
    </row>
    <row r="60" spans="1:9" ht="12.75">
      <c r="A60" s="53">
        <v>35676.48263888889</v>
      </c>
      <c r="B60" s="86"/>
      <c r="C60" s="54"/>
      <c r="D60" s="86"/>
      <c r="E60" s="54"/>
      <c r="F60" s="86"/>
      <c r="G60" s="54"/>
      <c r="H60" s="86"/>
      <c r="I60" s="54"/>
    </row>
    <row r="61" spans="1:14" ht="12.75">
      <c r="A61" s="53">
        <v>35711.399305555555</v>
      </c>
      <c r="B61" s="86">
        <v>0.2323305458843917</v>
      </c>
      <c r="C61" s="96">
        <v>2.5</v>
      </c>
      <c r="D61" s="86">
        <v>0.3367999516250619</v>
      </c>
      <c r="E61" s="96">
        <v>2.5</v>
      </c>
      <c r="F61" s="86">
        <v>0.695407541380922</v>
      </c>
      <c r="G61" s="96">
        <v>2.5</v>
      </c>
      <c r="H61" s="86">
        <v>0.30738398516853144</v>
      </c>
      <c r="I61" s="96">
        <v>2.5</v>
      </c>
      <c r="N61" s="54"/>
    </row>
    <row r="62" spans="1:17" ht="12.75">
      <c r="A62" s="53">
        <v>35753.43402777778</v>
      </c>
      <c r="B62" s="54"/>
      <c r="C62" s="54"/>
      <c r="D62" s="86"/>
      <c r="E62" s="54"/>
      <c r="F62" s="86"/>
      <c r="G62" s="54"/>
      <c r="H62" s="86"/>
      <c r="I62" s="54"/>
      <c r="N62" s="116"/>
      <c r="O62" s="116"/>
      <c r="P62" s="116"/>
      <c r="Q62" s="116"/>
    </row>
    <row r="63" spans="1:17" ht="12.75">
      <c r="A63" s="53">
        <v>35782.572916666664</v>
      </c>
      <c r="B63" s="54"/>
      <c r="C63" s="54"/>
      <c r="D63" s="86"/>
      <c r="E63" s="54"/>
      <c r="F63" s="86"/>
      <c r="G63" s="54"/>
      <c r="H63" s="86"/>
      <c r="I63" s="54"/>
      <c r="N63" s="95"/>
      <c r="O63" s="95"/>
      <c r="P63" s="95"/>
      <c r="Q63" s="54"/>
    </row>
    <row r="64" spans="12:17" ht="12.75">
      <c r="L64" s="53"/>
      <c r="M64" s="15"/>
      <c r="N64" s="83"/>
      <c r="O64" s="83"/>
      <c r="P64" s="83"/>
      <c r="Q64" s="83"/>
    </row>
    <row r="65" spans="12:17" ht="12.75">
      <c r="L65" s="53"/>
      <c r="M65" s="15"/>
      <c r="N65" s="83"/>
      <c r="O65" s="83"/>
      <c r="P65" s="83"/>
      <c r="Q65" s="83"/>
    </row>
    <row r="66" spans="12:17" ht="12.75">
      <c r="L66" s="53"/>
      <c r="M66" s="15"/>
      <c r="N66" s="83"/>
      <c r="O66" s="83"/>
      <c r="P66" s="83"/>
      <c r="Q66" s="83"/>
    </row>
    <row r="67" spans="1:17" ht="12.75">
      <c r="A67" s="13" t="s">
        <v>134</v>
      </c>
      <c r="B67" s="35" t="s">
        <v>135</v>
      </c>
      <c r="C67" s="15"/>
      <c r="E67" s="15"/>
      <c r="G67" s="15"/>
      <c r="H67" s="15"/>
      <c r="I67" s="15"/>
      <c r="L67" s="53"/>
      <c r="M67" s="15"/>
      <c r="N67" s="83"/>
      <c r="O67" s="83"/>
      <c r="P67" s="83"/>
      <c r="Q67" s="83"/>
    </row>
    <row r="68" spans="2:17" ht="12.75">
      <c r="B68" s="15" t="s">
        <v>11</v>
      </c>
      <c r="C68" s="15" t="s">
        <v>12</v>
      </c>
      <c r="D68" s="15" t="s">
        <v>13</v>
      </c>
      <c r="E68" s="15" t="s">
        <v>136</v>
      </c>
      <c r="L68" s="53"/>
      <c r="M68" s="13"/>
      <c r="N68" s="83"/>
      <c r="O68" s="83"/>
      <c r="P68" s="83"/>
      <c r="Q68" s="83"/>
    </row>
    <row r="69" spans="1:17" ht="12.75">
      <c r="A69" s="89">
        <v>35471</v>
      </c>
      <c r="B69" s="17">
        <f>287/2</f>
        <v>143.5</v>
      </c>
      <c r="C69" s="15">
        <v>119</v>
      </c>
      <c r="D69" s="23">
        <v>154</v>
      </c>
      <c r="E69" s="15">
        <v>134</v>
      </c>
      <c r="L69" s="53"/>
      <c r="M69" s="15"/>
      <c r="N69" s="83"/>
      <c r="O69" s="83"/>
      <c r="P69" s="83"/>
      <c r="Q69" s="83"/>
    </row>
    <row r="70" spans="1:17" ht="12.75">
      <c r="A70" s="90">
        <v>35487</v>
      </c>
      <c r="B70" s="17">
        <v>130</v>
      </c>
      <c r="C70" s="15">
        <v>130</v>
      </c>
      <c r="D70" s="23">
        <v>150</v>
      </c>
      <c r="E70" s="15">
        <v>133.67</v>
      </c>
      <c r="L70" s="53"/>
      <c r="M70" s="13"/>
      <c r="N70" s="83"/>
      <c r="O70" s="83"/>
      <c r="P70" s="83"/>
      <c r="Q70" s="83"/>
    </row>
    <row r="71" spans="1:17" ht="12.75">
      <c r="A71" s="90">
        <v>35501</v>
      </c>
      <c r="B71" s="17">
        <v>157</v>
      </c>
      <c r="C71" s="15">
        <v>139</v>
      </c>
      <c r="D71" s="23">
        <v>138</v>
      </c>
      <c r="E71" s="15">
        <v>148.5</v>
      </c>
      <c r="L71" s="53"/>
      <c r="M71" s="15"/>
      <c r="N71" s="83"/>
      <c r="O71" s="83"/>
      <c r="P71" s="83"/>
      <c r="Q71" s="83"/>
    </row>
    <row r="72" spans="1:17" ht="12.75">
      <c r="A72" s="91">
        <v>35537</v>
      </c>
      <c r="B72" s="18">
        <v>145</v>
      </c>
      <c r="C72" s="15">
        <v>130</v>
      </c>
      <c r="D72" s="23">
        <v>152</v>
      </c>
      <c r="E72" s="15">
        <v>142.25</v>
      </c>
      <c r="L72" s="53"/>
      <c r="M72" s="13"/>
      <c r="N72" s="83"/>
      <c r="O72" s="83"/>
      <c r="P72" s="83"/>
      <c r="Q72" s="83"/>
    </row>
    <row r="73" spans="1:17" ht="12.75">
      <c r="A73" s="91">
        <v>35577</v>
      </c>
      <c r="B73" s="17">
        <v>151</v>
      </c>
      <c r="C73" s="13">
        <v>79</v>
      </c>
      <c r="D73" s="17">
        <v>120</v>
      </c>
      <c r="E73" s="13">
        <v>152</v>
      </c>
      <c r="L73" s="53"/>
      <c r="M73" s="13"/>
      <c r="N73" s="83"/>
      <c r="O73" s="83"/>
      <c r="P73" s="83"/>
      <c r="Q73" s="83"/>
    </row>
    <row r="74" spans="1:17" ht="12.75">
      <c r="A74" s="91">
        <v>35599</v>
      </c>
      <c r="B74" s="17">
        <v>101</v>
      </c>
      <c r="C74" s="13">
        <f>125/2</f>
        <v>62.5</v>
      </c>
      <c r="D74" s="17">
        <v>107</v>
      </c>
      <c r="E74" s="15">
        <v>108.75</v>
      </c>
      <c r="L74" s="53"/>
      <c r="M74" s="13"/>
      <c r="N74" s="83"/>
      <c r="O74" s="83"/>
      <c r="P74" s="83"/>
      <c r="Q74" s="83"/>
    </row>
    <row r="75" spans="1:17" ht="12.75">
      <c r="A75" s="92">
        <v>35620.5</v>
      </c>
      <c r="B75" s="17">
        <f>184/2</f>
        <v>92</v>
      </c>
      <c r="C75" s="13">
        <v>89</v>
      </c>
      <c r="D75" s="17">
        <v>134</v>
      </c>
      <c r="E75" s="13">
        <v>92</v>
      </c>
      <c r="L75" s="93"/>
      <c r="M75" s="1"/>
      <c r="N75" s="83"/>
      <c r="O75" s="83"/>
      <c r="P75" s="83"/>
      <c r="Q75" s="83"/>
    </row>
    <row r="76" spans="1:5" ht="12.75">
      <c r="A76" s="92">
        <v>35654.520833333336</v>
      </c>
      <c r="B76" s="17">
        <v>93</v>
      </c>
      <c r="C76" s="13">
        <v>85</v>
      </c>
      <c r="D76" s="17">
        <v>108</v>
      </c>
      <c r="E76" s="15">
        <v>94</v>
      </c>
    </row>
    <row r="77" spans="1:5" ht="12.75">
      <c r="A77" s="92">
        <v>35676.48263888889</v>
      </c>
      <c r="B77" s="17">
        <v>97</v>
      </c>
      <c r="C77" s="13">
        <v>92</v>
      </c>
      <c r="D77" s="17">
        <v>137</v>
      </c>
      <c r="E77" s="13">
        <v>97.25</v>
      </c>
    </row>
    <row r="78" spans="1:5" ht="12.75">
      <c r="A78" s="92">
        <v>35711.399305555555</v>
      </c>
      <c r="B78" s="17">
        <v>83</v>
      </c>
      <c r="C78" s="13">
        <v>103</v>
      </c>
      <c r="D78" s="17">
        <v>157</v>
      </c>
      <c r="E78" s="13">
        <v>97.67</v>
      </c>
    </row>
    <row r="79" spans="1:5" ht="12.75">
      <c r="A79" s="92">
        <v>35753.43402777778</v>
      </c>
      <c r="B79" s="17">
        <v>114</v>
      </c>
      <c r="C79" s="13">
        <v>99</v>
      </c>
      <c r="D79" s="17">
        <v>144</v>
      </c>
      <c r="E79" s="13">
        <v>116</v>
      </c>
    </row>
    <row r="80" spans="1:5" ht="12.75">
      <c r="A80" s="92">
        <v>35782.572916666664</v>
      </c>
      <c r="B80" s="17">
        <v>113</v>
      </c>
      <c r="C80" s="13">
        <v>106</v>
      </c>
      <c r="D80" s="17">
        <f>272/2</f>
        <v>136</v>
      </c>
      <c r="E80" s="13">
        <v>117</v>
      </c>
    </row>
    <row r="83" spans="1:10" ht="12.75">
      <c r="A83" t="s">
        <v>133</v>
      </c>
      <c r="B83" s="119" t="s">
        <v>268</v>
      </c>
      <c r="C83" s="119"/>
      <c r="D83" s="119"/>
      <c r="E83" s="119" t="s">
        <v>269</v>
      </c>
      <c r="F83" s="119"/>
      <c r="G83" s="119"/>
      <c r="H83" s="120" t="s">
        <v>270</v>
      </c>
      <c r="I83" s="120"/>
      <c r="J83" s="120"/>
    </row>
    <row r="84" spans="2:10" ht="12.75">
      <c r="B84" t="s">
        <v>266</v>
      </c>
      <c r="E84" t="s">
        <v>71</v>
      </c>
      <c r="H84" s="94" t="s">
        <v>71</v>
      </c>
      <c r="I84" s="94" t="s">
        <v>267</v>
      </c>
      <c r="J84" s="94"/>
    </row>
    <row r="85" spans="2:10" ht="12.75">
      <c r="B85" t="s">
        <v>143</v>
      </c>
      <c r="C85" t="s">
        <v>148</v>
      </c>
      <c r="D85" t="s">
        <v>151</v>
      </c>
      <c r="E85" t="s">
        <v>143</v>
      </c>
      <c r="F85" t="s">
        <v>148</v>
      </c>
      <c r="G85" t="s">
        <v>151</v>
      </c>
      <c r="H85" s="94" t="s">
        <v>143</v>
      </c>
      <c r="I85" s="94" t="s">
        <v>148</v>
      </c>
      <c r="J85" s="94" t="s">
        <v>151</v>
      </c>
    </row>
    <row r="86" spans="1:10" ht="12.75">
      <c r="A86" s="93">
        <v>35471</v>
      </c>
      <c r="B86">
        <v>-0.003</v>
      </c>
      <c r="C86">
        <v>-0.04</v>
      </c>
      <c r="E86">
        <f>+B86*1000</f>
        <v>-3</v>
      </c>
      <c r="F86">
        <f>+C86*1000</f>
        <v>-40</v>
      </c>
      <c r="G86">
        <f>+D86*1000</f>
        <v>0</v>
      </c>
      <c r="H86" s="94">
        <v>1.5</v>
      </c>
      <c r="I86" s="94">
        <v>20</v>
      </c>
      <c r="J86" s="94">
        <f aca="true" t="shared" si="12" ref="J86:J102">+G86/2</f>
        <v>0</v>
      </c>
    </row>
    <row r="87" spans="1:10" ht="12.75">
      <c r="A87" s="93">
        <v>35471</v>
      </c>
      <c r="B87">
        <v>-0.003</v>
      </c>
      <c r="C87">
        <v>-0.04</v>
      </c>
      <c r="E87">
        <f aca="true" t="shared" si="13" ref="E87:E102">+B87*1000</f>
        <v>-3</v>
      </c>
      <c r="F87">
        <f aca="true" t="shared" si="14" ref="F87:F102">+C87*1000</f>
        <v>-40</v>
      </c>
      <c r="G87">
        <f aca="true" t="shared" si="15" ref="G87:G102">+D87*1000</f>
        <v>0</v>
      </c>
      <c r="H87" s="94"/>
      <c r="I87" s="94"/>
      <c r="J87" s="94"/>
    </row>
    <row r="88" spans="1:10" ht="12.75">
      <c r="A88" s="93">
        <v>35487</v>
      </c>
      <c r="B88">
        <v>-0.003</v>
      </c>
      <c r="C88">
        <v>-0.04</v>
      </c>
      <c r="E88">
        <f t="shared" si="13"/>
        <v>-3</v>
      </c>
      <c r="F88">
        <f t="shared" si="14"/>
        <v>-40</v>
      </c>
      <c r="G88">
        <f t="shared" si="15"/>
        <v>0</v>
      </c>
      <c r="H88" s="94">
        <v>1.5</v>
      </c>
      <c r="I88" s="94">
        <v>20</v>
      </c>
      <c r="J88" s="94">
        <f t="shared" si="12"/>
        <v>0</v>
      </c>
    </row>
    <row r="89" spans="1:10" ht="12.75">
      <c r="A89" s="93">
        <v>35501</v>
      </c>
      <c r="B89">
        <v>-0.003</v>
      </c>
      <c r="C89">
        <v>-0.04</v>
      </c>
      <c r="D89">
        <v>-0.005</v>
      </c>
      <c r="E89">
        <f t="shared" si="13"/>
        <v>-3</v>
      </c>
      <c r="F89">
        <f t="shared" si="14"/>
        <v>-40</v>
      </c>
      <c r="G89">
        <f t="shared" si="15"/>
        <v>-5</v>
      </c>
      <c r="H89" s="94">
        <v>1.5</v>
      </c>
      <c r="I89" s="94">
        <v>20</v>
      </c>
      <c r="J89" s="94">
        <v>2.5</v>
      </c>
    </row>
    <row r="90" spans="1:10" ht="12.75">
      <c r="A90" s="93">
        <v>35537</v>
      </c>
      <c r="B90">
        <v>-0.003</v>
      </c>
      <c r="C90">
        <v>-0.04</v>
      </c>
      <c r="E90">
        <f t="shared" si="13"/>
        <v>-3</v>
      </c>
      <c r="F90">
        <f t="shared" si="14"/>
        <v>-40</v>
      </c>
      <c r="G90">
        <f t="shared" si="15"/>
        <v>0</v>
      </c>
      <c r="H90" s="94">
        <v>1.5</v>
      </c>
      <c r="I90" s="94">
        <v>20</v>
      </c>
      <c r="J90" s="94">
        <f t="shared" si="12"/>
        <v>0</v>
      </c>
    </row>
    <row r="91" spans="1:10" ht="12.75">
      <c r="A91" s="93">
        <v>35577</v>
      </c>
      <c r="B91">
        <v>0.003</v>
      </c>
      <c r="C91">
        <v>-0.04</v>
      </c>
      <c r="D91">
        <v>-0.005</v>
      </c>
      <c r="E91">
        <f t="shared" si="13"/>
        <v>3</v>
      </c>
      <c r="F91">
        <f t="shared" si="14"/>
        <v>-40</v>
      </c>
      <c r="G91">
        <f t="shared" si="15"/>
        <v>-5</v>
      </c>
      <c r="H91" s="94">
        <v>1.5</v>
      </c>
      <c r="I91" s="94">
        <v>20</v>
      </c>
      <c r="J91" s="94">
        <v>2.5</v>
      </c>
    </row>
    <row r="92" spans="1:10" ht="12.75">
      <c r="A92" s="93">
        <v>35599</v>
      </c>
      <c r="B92">
        <v>-0.003</v>
      </c>
      <c r="C92">
        <v>-0.04</v>
      </c>
      <c r="E92">
        <f t="shared" si="13"/>
        <v>-3</v>
      </c>
      <c r="F92">
        <f t="shared" si="14"/>
        <v>-40</v>
      </c>
      <c r="G92">
        <f t="shared" si="15"/>
        <v>0</v>
      </c>
      <c r="H92" s="94">
        <v>1.5</v>
      </c>
      <c r="I92" s="94">
        <v>20</v>
      </c>
      <c r="J92" s="94">
        <f t="shared" si="12"/>
        <v>0</v>
      </c>
    </row>
    <row r="93" spans="1:10" ht="12.75">
      <c r="A93" s="93">
        <v>35620</v>
      </c>
      <c r="B93">
        <v>-0.003</v>
      </c>
      <c r="C93">
        <v>-0.08</v>
      </c>
      <c r="D93">
        <v>-0.005</v>
      </c>
      <c r="E93">
        <f t="shared" si="13"/>
        <v>-3</v>
      </c>
      <c r="F93">
        <f t="shared" si="14"/>
        <v>-80</v>
      </c>
      <c r="G93">
        <f t="shared" si="15"/>
        <v>-5</v>
      </c>
      <c r="H93" s="94">
        <v>1.5</v>
      </c>
      <c r="I93" s="94">
        <v>40</v>
      </c>
      <c r="J93" s="94">
        <v>2.5</v>
      </c>
    </row>
    <row r="94" spans="1:10" ht="12.75">
      <c r="A94" s="93">
        <v>35620</v>
      </c>
      <c r="B94">
        <v>-0.003</v>
      </c>
      <c r="C94">
        <v>-0.08</v>
      </c>
      <c r="D94">
        <v>-0.005</v>
      </c>
      <c r="E94">
        <f t="shared" si="13"/>
        <v>-3</v>
      </c>
      <c r="F94">
        <f t="shared" si="14"/>
        <v>-80</v>
      </c>
      <c r="G94">
        <f t="shared" si="15"/>
        <v>-5</v>
      </c>
      <c r="H94" s="94"/>
      <c r="I94" s="94"/>
      <c r="J94" s="94"/>
    </row>
    <row r="95" spans="1:10" ht="12.75">
      <c r="A95" s="93">
        <v>35634</v>
      </c>
      <c r="E95">
        <f t="shared" si="13"/>
        <v>0</v>
      </c>
      <c r="F95">
        <f t="shared" si="14"/>
        <v>0</v>
      </c>
      <c r="G95">
        <f t="shared" si="15"/>
        <v>0</v>
      </c>
      <c r="H95" s="94">
        <f>+E95/2</f>
        <v>0</v>
      </c>
      <c r="I95" s="94">
        <f>+F95/2</f>
        <v>0</v>
      </c>
      <c r="J95" s="94">
        <f t="shared" si="12"/>
        <v>0</v>
      </c>
    </row>
    <row r="96" spans="1:10" ht="12.75">
      <c r="A96" s="93">
        <v>35654</v>
      </c>
      <c r="B96">
        <v>-0.003</v>
      </c>
      <c r="C96">
        <v>-0.04</v>
      </c>
      <c r="E96">
        <f t="shared" si="13"/>
        <v>-3</v>
      </c>
      <c r="F96">
        <f t="shared" si="14"/>
        <v>-40</v>
      </c>
      <c r="G96">
        <f t="shared" si="15"/>
        <v>0</v>
      </c>
      <c r="H96" s="94">
        <v>1.5</v>
      </c>
      <c r="I96" s="94">
        <v>20</v>
      </c>
      <c r="J96" s="94">
        <f t="shared" si="12"/>
        <v>0</v>
      </c>
    </row>
    <row r="97" spans="1:10" ht="12.75">
      <c r="A97" s="93">
        <v>35662</v>
      </c>
      <c r="E97">
        <f t="shared" si="13"/>
        <v>0</v>
      </c>
      <c r="F97">
        <f t="shared" si="14"/>
        <v>0</v>
      </c>
      <c r="G97">
        <f t="shared" si="15"/>
        <v>0</v>
      </c>
      <c r="H97" s="94">
        <f>+E97/2</f>
        <v>0</v>
      </c>
      <c r="I97" s="94">
        <f>+F97/2</f>
        <v>0</v>
      </c>
      <c r="J97" s="94">
        <f t="shared" si="12"/>
        <v>0</v>
      </c>
    </row>
    <row r="98" spans="1:10" ht="12.75">
      <c r="A98" s="93">
        <v>35676</v>
      </c>
      <c r="B98">
        <v>-0.003</v>
      </c>
      <c r="C98">
        <v>-0.04</v>
      </c>
      <c r="E98">
        <f t="shared" si="13"/>
        <v>-3</v>
      </c>
      <c r="F98">
        <f t="shared" si="14"/>
        <v>-40</v>
      </c>
      <c r="G98">
        <f t="shared" si="15"/>
        <v>0</v>
      </c>
      <c r="H98" s="94">
        <v>1.5</v>
      </c>
      <c r="I98" s="94">
        <v>20</v>
      </c>
      <c r="J98" s="94">
        <f t="shared" si="12"/>
        <v>0</v>
      </c>
    </row>
    <row r="99" spans="1:10" ht="12.75">
      <c r="A99" s="93">
        <v>35690</v>
      </c>
      <c r="E99">
        <f t="shared" si="13"/>
        <v>0</v>
      </c>
      <c r="F99">
        <f t="shared" si="14"/>
        <v>0</v>
      </c>
      <c r="G99">
        <f t="shared" si="15"/>
        <v>0</v>
      </c>
      <c r="H99" s="94">
        <f>+E99/2</f>
        <v>0</v>
      </c>
      <c r="I99" s="94">
        <f>+F99/2</f>
        <v>0</v>
      </c>
      <c r="J99" s="94">
        <f t="shared" si="12"/>
        <v>0</v>
      </c>
    </row>
    <row r="100" spans="1:10" ht="12.75">
      <c r="A100" s="93">
        <v>35711</v>
      </c>
      <c r="B100">
        <v>-0.003</v>
      </c>
      <c r="C100">
        <v>-0.04</v>
      </c>
      <c r="D100">
        <v>-0.005</v>
      </c>
      <c r="E100">
        <f t="shared" si="13"/>
        <v>-3</v>
      </c>
      <c r="F100">
        <f t="shared" si="14"/>
        <v>-40</v>
      </c>
      <c r="G100">
        <f t="shared" si="15"/>
        <v>-5</v>
      </c>
      <c r="H100" s="94">
        <v>1.5</v>
      </c>
      <c r="I100" s="94">
        <v>20</v>
      </c>
      <c r="J100" s="94">
        <v>2.5</v>
      </c>
    </row>
    <row r="101" spans="1:10" ht="12.75">
      <c r="A101" s="93">
        <v>35753</v>
      </c>
      <c r="B101">
        <v>-0.003</v>
      </c>
      <c r="C101">
        <v>-0.04</v>
      </c>
      <c r="E101">
        <f t="shared" si="13"/>
        <v>-3</v>
      </c>
      <c r="F101">
        <f t="shared" si="14"/>
        <v>-40</v>
      </c>
      <c r="G101">
        <f t="shared" si="15"/>
        <v>0</v>
      </c>
      <c r="H101" s="94">
        <v>1.5</v>
      </c>
      <c r="I101" s="94">
        <v>20</v>
      </c>
      <c r="J101" s="94">
        <f t="shared" si="12"/>
        <v>0</v>
      </c>
    </row>
    <row r="102" spans="1:10" ht="12.75">
      <c r="A102" s="93">
        <v>35782</v>
      </c>
      <c r="B102">
        <v>-0.003</v>
      </c>
      <c r="C102">
        <v>-0.04</v>
      </c>
      <c r="E102">
        <f t="shared" si="13"/>
        <v>-3</v>
      </c>
      <c r="F102">
        <f t="shared" si="14"/>
        <v>-40</v>
      </c>
      <c r="G102">
        <f t="shared" si="15"/>
        <v>0</v>
      </c>
      <c r="H102" s="94">
        <v>1.5</v>
      </c>
      <c r="I102" s="94">
        <v>20</v>
      </c>
      <c r="J102" s="94">
        <f t="shared" si="12"/>
        <v>0</v>
      </c>
    </row>
  </sheetData>
  <mergeCells count="23">
    <mergeCell ref="B83:D83"/>
    <mergeCell ref="E83:G83"/>
    <mergeCell ref="H83:J83"/>
    <mergeCell ref="N4:Q4"/>
    <mergeCell ref="N62:Q62"/>
    <mergeCell ref="N22:Q22"/>
    <mergeCell ref="N40:Q40"/>
    <mergeCell ref="H50:I50"/>
    <mergeCell ref="F50:G50"/>
    <mergeCell ref="D50:E50"/>
    <mergeCell ref="B50:C50"/>
    <mergeCell ref="H34:I34"/>
    <mergeCell ref="F34:G34"/>
    <mergeCell ref="D34:E34"/>
    <mergeCell ref="B34:C34"/>
    <mergeCell ref="H18:I18"/>
    <mergeCell ref="F18:G18"/>
    <mergeCell ref="D18:E18"/>
    <mergeCell ref="B18:C18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10"/>
  <sheetViews>
    <sheetView workbookViewId="0" topLeftCell="A200">
      <selection activeCell="H224" sqref="H224"/>
    </sheetView>
  </sheetViews>
  <sheetFormatPr defaultColWidth="9.140625" defaultRowHeight="12.75"/>
  <cols>
    <col min="1" max="1" width="11.28125" style="0" customWidth="1"/>
    <col min="2" max="2" width="10.7109375" style="0" customWidth="1"/>
    <col min="3" max="3" width="9.421875" style="0" customWidth="1"/>
    <col min="4" max="4" width="10.7109375" style="0" customWidth="1"/>
    <col min="5" max="5" width="8.421875" style="0" customWidth="1"/>
    <col min="6" max="6" width="9.57421875" style="0" customWidth="1"/>
    <col min="7" max="7" width="8.421875" style="0" customWidth="1"/>
    <col min="8" max="8" width="9.57421875" style="0" customWidth="1"/>
    <col min="9" max="10" width="7.28125" style="0" customWidth="1"/>
  </cols>
  <sheetData>
    <row r="1" ht="12.75">
      <c r="A1" t="s">
        <v>133</v>
      </c>
    </row>
    <row r="2" spans="1:14" ht="12.75">
      <c r="A2" t="s">
        <v>112</v>
      </c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127</v>
      </c>
      <c r="K2" t="s">
        <v>121</v>
      </c>
      <c r="L2" t="s">
        <v>122</v>
      </c>
      <c r="M2" t="s">
        <v>123</v>
      </c>
      <c r="N2" t="s">
        <v>124</v>
      </c>
    </row>
    <row r="3" spans="1:14" ht="12.75">
      <c r="A3" s="1">
        <v>0</v>
      </c>
      <c r="B3" t="s">
        <v>125</v>
      </c>
      <c r="C3" t="s">
        <v>126</v>
      </c>
      <c r="D3" t="s">
        <v>125</v>
      </c>
      <c r="E3" t="s">
        <v>125</v>
      </c>
      <c r="F3" t="s">
        <v>125</v>
      </c>
      <c r="G3" t="s">
        <v>126</v>
      </c>
      <c r="H3" t="s">
        <v>125</v>
      </c>
      <c r="I3" t="s">
        <v>125</v>
      </c>
      <c r="J3" t="s">
        <v>126</v>
      </c>
      <c r="K3" t="s">
        <v>126</v>
      </c>
      <c r="L3" t="s">
        <v>126</v>
      </c>
      <c r="M3" t="s">
        <v>126</v>
      </c>
      <c r="N3" t="s">
        <v>125</v>
      </c>
    </row>
    <row r="4" spans="1:14" ht="12.75">
      <c r="A4" s="1">
        <v>1</v>
      </c>
      <c r="B4" t="s">
        <v>125</v>
      </c>
      <c r="C4" t="s">
        <v>126</v>
      </c>
      <c r="D4" t="s">
        <v>125</v>
      </c>
      <c r="E4" t="s">
        <v>125</v>
      </c>
      <c r="F4" t="s">
        <v>125</v>
      </c>
      <c r="G4" t="s">
        <v>126</v>
      </c>
      <c r="H4" t="s">
        <v>125</v>
      </c>
      <c r="I4" t="s">
        <v>125</v>
      </c>
      <c r="J4" t="s">
        <v>126</v>
      </c>
      <c r="K4" t="s">
        <v>126</v>
      </c>
      <c r="L4" t="s">
        <v>126</v>
      </c>
      <c r="M4" t="s">
        <v>126</v>
      </c>
      <c r="N4" t="s">
        <v>125</v>
      </c>
    </row>
    <row r="5" spans="1:14" ht="12.75">
      <c r="A5" s="1">
        <v>2</v>
      </c>
      <c r="B5" t="s">
        <v>125</v>
      </c>
      <c r="C5" t="s">
        <v>126</v>
      </c>
      <c r="D5" t="s">
        <v>125</v>
      </c>
      <c r="E5" t="s">
        <v>125</v>
      </c>
      <c r="F5" t="s">
        <v>125</v>
      </c>
      <c r="G5" t="s">
        <v>126</v>
      </c>
      <c r="H5" t="s">
        <v>125</v>
      </c>
      <c r="I5" t="s">
        <v>125</v>
      </c>
      <c r="J5" t="s">
        <v>126</v>
      </c>
      <c r="K5" t="s">
        <v>126</v>
      </c>
      <c r="L5" t="s">
        <v>125</v>
      </c>
      <c r="M5" t="s">
        <v>126</v>
      </c>
      <c r="N5" t="s">
        <v>125</v>
      </c>
    </row>
    <row r="6" spans="1:14" ht="12.75">
      <c r="A6" s="1" t="s">
        <v>48</v>
      </c>
      <c r="B6" t="s">
        <v>125</v>
      </c>
      <c r="C6" t="s">
        <v>126</v>
      </c>
      <c r="D6" t="s">
        <v>125</v>
      </c>
      <c r="E6" t="s">
        <v>128</v>
      </c>
      <c r="F6" t="s">
        <v>128</v>
      </c>
      <c r="G6" t="s">
        <v>128</v>
      </c>
      <c r="H6" t="s">
        <v>126</v>
      </c>
      <c r="I6" t="s">
        <v>128</v>
      </c>
      <c r="J6" t="s">
        <v>125</v>
      </c>
      <c r="K6" t="s">
        <v>128</v>
      </c>
      <c r="L6" t="s">
        <v>126</v>
      </c>
      <c r="M6" t="s">
        <v>128</v>
      </c>
      <c r="N6" t="s">
        <v>128</v>
      </c>
    </row>
    <row r="7" spans="1:14" ht="12.75">
      <c r="A7" s="1">
        <v>7</v>
      </c>
      <c r="B7" t="s">
        <v>125</v>
      </c>
      <c r="C7" t="s">
        <v>126</v>
      </c>
      <c r="D7" t="s">
        <v>125</v>
      </c>
      <c r="E7" t="s">
        <v>125</v>
      </c>
      <c r="F7" t="s">
        <v>125</v>
      </c>
      <c r="G7" t="s">
        <v>126</v>
      </c>
      <c r="H7" t="s">
        <v>125</v>
      </c>
      <c r="I7" t="s">
        <v>125</v>
      </c>
      <c r="J7" t="s">
        <v>125</v>
      </c>
      <c r="K7" t="s">
        <v>126</v>
      </c>
      <c r="L7" t="s">
        <v>126</v>
      </c>
      <c r="M7" t="s">
        <v>126</v>
      </c>
      <c r="N7" t="s">
        <v>125</v>
      </c>
    </row>
    <row r="8" spans="1:12" ht="12.75">
      <c r="A8" t="s">
        <v>129</v>
      </c>
      <c r="E8" t="s">
        <v>125</v>
      </c>
      <c r="J8" t="s">
        <v>125</v>
      </c>
      <c r="L8" t="s">
        <v>125</v>
      </c>
    </row>
    <row r="10" ht="12.75">
      <c r="B10" t="s">
        <v>130</v>
      </c>
    </row>
    <row r="11" ht="12.75">
      <c r="B11" t="s">
        <v>131</v>
      </c>
    </row>
    <row r="12" ht="12.75">
      <c r="B12" t="s">
        <v>132</v>
      </c>
    </row>
    <row r="14" spans="2:10" ht="12.75">
      <c r="B14" s="1" t="s">
        <v>11</v>
      </c>
      <c r="C14" s="1" t="s">
        <v>12</v>
      </c>
      <c r="D14" s="1" t="s">
        <v>13</v>
      </c>
      <c r="E14" s="1" t="s">
        <v>136</v>
      </c>
      <c r="G14" s="13"/>
      <c r="H14" s="13"/>
      <c r="J14" s="13"/>
    </row>
    <row r="15" spans="1:10" ht="12.75">
      <c r="A15" t="s">
        <v>176</v>
      </c>
      <c r="B15" s="29">
        <v>101.77956910592775</v>
      </c>
      <c r="C15" s="29">
        <v>88.08711607775754</v>
      </c>
      <c r="D15" s="29">
        <v>125.63252019819218</v>
      </c>
      <c r="E15" s="29">
        <v>105.42771737364791</v>
      </c>
      <c r="G15" s="15"/>
      <c r="H15" s="15"/>
      <c r="I15" s="15"/>
      <c r="J15" s="15"/>
    </row>
    <row r="16" spans="1:10" ht="12.75">
      <c r="A16" s="27" t="s">
        <v>138</v>
      </c>
      <c r="B16" s="29">
        <f>LN(B15)</f>
        <v>4.622809387568779</v>
      </c>
      <c r="C16" s="29">
        <f>LN(C15)</f>
        <v>4.478326280224543</v>
      </c>
      <c r="D16" s="29">
        <f>LN(D15)</f>
        <v>4.833361139295833</v>
      </c>
      <c r="E16" s="29">
        <f>LN(E15)</f>
        <v>4.65802557472039</v>
      </c>
      <c r="G16" s="15"/>
      <c r="H16" s="15"/>
      <c r="I16" s="15"/>
      <c r="J16" s="15"/>
    </row>
    <row r="17" spans="1:10" s="30" customFormat="1" ht="12.75">
      <c r="A17" s="35" t="s">
        <v>177</v>
      </c>
      <c r="B17" s="35"/>
      <c r="C17" s="15"/>
      <c r="D17" s="15"/>
      <c r="E17" s="15"/>
      <c r="F17" s="15"/>
      <c r="G17" s="15"/>
      <c r="H17" s="15"/>
      <c r="I17" s="15"/>
      <c r="J17" s="15"/>
    </row>
    <row r="18" spans="1:10" s="30" customFormat="1" ht="12.75">
      <c r="A18" s="35"/>
      <c r="B18" s="35"/>
      <c r="C18" s="15"/>
      <c r="D18" s="15"/>
      <c r="E18" s="15"/>
      <c r="F18" s="15"/>
      <c r="G18" s="15"/>
      <c r="H18" s="15"/>
      <c r="I18" s="15"/>
      <c r="J18" s="15"/>
    </row>
    <row r="19" spans="1:11" ht="18">
      <c r="A19" s="121" t="s">
        <v>141</v>
      </c>
      <c r="B19" s="121"/>
      <c r="C19" s="121"/>
      <c r="D19" s="121"/>
      <c r="E19" s="121"/>
      <c r="F19" s="121"/>
      <c r="G19" s="121"/>
      <c r="H19" s="121"/>
      <c r="I19" s="31"/>
      <c r="J19" s="31"/>
      <c r="K19" s="27"/>
    </row>
    <row r="20" spans="9:11" ht="12.75">
      <c r="I20" s="31"/>
      <c r="J20" s="31"/>
      <c r="K20" s="27"/>
    </row>
    <row r="21" spans="2:11" ht="12.75">
      <c r="B21" s="46" t="s">
        <v>140</v>
      </c>
      <c r="C21" s="47" t="s">
        <v>137</v>
      </c>
      <c r="I21" s="31"/>
      <c r="J21" s="31"/>
      <c r="K21" s="27"/>
    </row>
    <row r="22" spans="1:11" ht="15.75">
      <c r="A22" s="51" t="s">
        <v>139</v>
      </c>
      <c r="B22" t="s">
        <v>154</v>
      </c>
      <c r="D22" t="s">
        <v>11</v>
      </c>
      <c r="E22" t="s">
        <v>12</v>
      </c>
      <c r="F22" t="s">
        <v>13</v>
      </c>
      <c r="G22" t="s">
        <v>136</v>
      </c>
      <c r="I22" s="31"/>
      <c r="J22" s="31"/>
      <c r="K22" s="27"/>
    </row>
    <row r="23" spans="9:11" ht="12.75">
      <c r="I23" s="31"/>
      <c r="J23" s="31"/>
      <c r="K23" s="27"/>
    </row>
    <row r="24" spans="9:11" ht="12.75">
      <c r="I24" s="31"/>
      <c r="J24" s="31"/>
      <c r="K24" s="27"/>
    </row>
    <row r="25" spans="1:11" ht="15.75">
      <c r="A25" s="51" t="s">
        <v>143</v>
      </c>
      <c r="B25" s="46" t="s">
        <v>144</v>
      </c>
      <c r="D25" t="s">
        <v>191</v>
      </c>
      <c r="J25" s="31"/>
      <c r="K25" s="27"/>
    </row>
    <row r="26" spans="1:11" s="7" customFormat="1" ht="12.75">
      <c r="A26"/>
      <c r="B26" s="116" t="s">
        <v>11</v>
      </c>
      <c r="C26" s="116"/>
      <c r="D26" s="116" t="s">
        <v>12</v>
      </c>
      <c r="E26" s="116"/>
      <c r="F26" s="116" t="s">
        <v>13</v>
      </c>
      <c r="G26" s="116"/>
      <c r="H26" s="116" t="s">
        <v>136</v>
      </c>
      <c r="I26" s="116"/>
      <c r="J26" s="37"/>
      <c r="K26" s="36"/>
    </row>
    <row r="27" spans="1:11" s="44" customFormat="1" ht="12.75">
      <c r="A27"/>
      <c r="B27" s="68" t="s">
        <v>179</v>
      </c>
      <c r="C27" s="67" t="s">
        <v>152</v>
      </c>
      <c r="D27" s="68" t="s">
        <v>179</v>
      </c>
      <c r="E27" s="67" t="s">
        <v>152</v>
      </c>
      <c r="F27" s="68" t="s">
        <v>179</v>
      </c>
      <c r="G27" s="67" t="s">
        <v>152</v>
      </c>
      <c r="H27" s="68" t="s">
        <v>179</v>
      </c>
      <c r="I27" s="67" t="s">
        <v>152</v>
      </c>
      <c r="J27" s="42"/>
      <c r="K27" s="43"/>
    </row>
    <row r="28" spans="1:11" ht="12.75">
      <c r="A28" s="53">
        <v>35471</v>
      </c>
      <c r="B28" s="83">
        <v>1.5061643742029505</v>
      </c>
      <c r="C28" s="54">
        <v>1.5</v>
      </c>
      <c r="D28" s="86">
        <v>1.3002645799411898</v>
      </c>
      <c r="E28" s="96">
        <v>1.5</v>
      </c>
      <c r="F28" s="86">
        <v>1.5920383612830158</v>
      </c>
      <c r="G28" s="54">
        <v>1.5</v>
      </c>
      <c r="H28" s="86">
        <v>1.4272989484626173</v>
      </c>
      <c r="I28" s="96">
        <v>1.5</v>
      </c>
      <c r="J28" s="30"/>
      <c r="K28" s="24"/>
    </row>
    <row r="29" spans="1:11" ht="12.75">
      <c r="A29" s="53">
        <v>35487</v>
      </c>
      <c r="B29" s="83">
        <v>1.3937361939591866</v>
      </c>
      <c r="C29" s="96">
        <v>1.5</v>
      </c>
      <c r="D29" s="86">
        <v>1.3937361939591866</v>
      </c>
      <c r="E29" s="96">
        <v>3</v>
      </c>
      <c r="F29" s="86">
        <v>1.5594775057138093</v>
      </c>
      <c r="G29" s="54">
        <v>1.5</v>
      </c>
      <c r="H29" s="86">
        <v>1.424538247635223</v>
      </c>
      <c r="I29" s="96">
        <v>1.5</v>
      </c>
      <c r="J29" s="38"/>
      <c r="K29" s="25"/>
    </row>
    <row r="30" spans="1:11" ht="12.75">
      <c r="A30" s="53">
        <v>35501</v>
      </c>
      <c r="B30" s="83">
        <v>1.6163397936760324</v>
      </c>
      <c r="C30" s="54">
        <v>1.5</v>
      </c>
      <c r="D30" s="86">
        <v>1.468951575363702</v>
      </c>
      <c r="E30" s="96">
        <v>1.5</v>
      </c>
      <c r="F30" s="86">
        <v>1.4606471538682528</v>
      </c>
      <c r="G30" s="96">
        <v>1.5</v>
      </c>
      <c r="H30" s="86">
        <v>1.5472192836401262</v>
      </c>
      <c r="I30" s="54">
        <v>1.5</v>
      </c>
      <c r="J30" s="38"/>
      <c r="K30" s="25"/>
    </row>
    <row r="31" spans="1:11" ht="12.75">
      <c r="A31" s="53">
        <v>35537</v>
      </c>
      <c r="B31" s="83">
        <v>1.5185126477074562</v>
      </c>
      <c r="C31" s="54">
        <v>1.5</v>
      </c>
      <c r="D31" s="86">
        <v>1.3937361939591866</v>
      </c>
      <c r="E31" s="96">
        <v>1.5</v>
      </c>
      <c r="F31" s="86">
        <v>1.575780941033366</v>
      </c>
      <c r="G31" s="54">
        <v>1.5</v>
      </c>
      <c r="H31" s="86">
        <v>1.4958529578655406</v>
      </c>
      <c r="I31" s="54">
        <v>1.5</v>
      </c>
      <c r="J31" s="38"/>
      <c r="K31" s="26"/>
    </row>
    <row r="32" spans="1:11" ht="12.75">
      <c r="A32" s="53">
        <v>35577</v>
      </c>
      <c r="B32" s="83">
        <v>1.56763502139621</v>
      </c>
      <c r="C32" s="96">
        <v>3</v>
      </c>
      <c r="D32" s="86">
        <v>0.9426035048286</v>
      </c>
      <c r="E32" s="96">
        <v>1.5</v>
      </c>
      <c r="F32" s="86">
        <v>1.3088364238429608</v>
      </c>
      <c r="G32" s="96">
        <v>1.5</v>
      </c>
      <c r="H32" s="86">
        <v>1.575780941033366</v>
      </c>
      <c r="I32" s="54">
        <v>1.5</v>
      </c>
      <c r="J32" s="38"/>
      <c r="K32" s="21"/>
    </row>
    <row r="33" spans="1:11" ht="12.75">
      <c r="A33" s="53">
        <v>35599</v>
      </c>
      <c r="B33" s="83">
        <v>1.1431557386567348</v>
      </c>
      <c r="C33" s="96">
        <v>1.5</v>
      </c>
      <c r="D33" s="86">
        <v>0.7842187970899277</v>
      </c>
      <c r="E33" s="96">
        <v>1.5</v>
      </c>
      <c r="F33" s="86">
        <v>1.1961465731488352</v>
      </c>
      <c r="G33" s="96">
        <v>1.5</v>
      </c>
      <c r="H33" s="86">
        <v>1.2114807493998383</v>
      </c>
      <c r="I33" s="96">
        <v>1.5</v>
      </c>
      <c r="J33" s="38"/>
      <c r="K33" s="21"/>
    </row>
    <row r="34" spans="1:11" ht="12.75">
      <c r="A34" s="53">
        <v>35620.5</v>
      </c>
      <c r="B34" s="83">
        <v>1.0623765116143618</v>
      </c>
      <c r="C34" s="96">
        <v>1.5</v>
      </c>
      <c r="D34" s="86">
        <v>1.035078508551646</v>
      </c>
      <c r="E34" s="96">
        <v>1.5</v>
      </c>
      <c r="F34" s="86">
        <v>1.4272989484626173</v>
      </c>
      <c r="G34" s="96">
        <v>1.5</v>
      </c>
      <c r="H34" s="86">
        <v>1.0623765116143618</v>
      </c>
      <c r="I34" s="96">
        <v>1.5</v>
      </c>
      <c r="J34" s="38"/>
      <c r="K34" s="21"/>
    </row>
    <row r="35" spans="1:11" ht="12.75">
      <c r="A35" s="53">
        <v>35654.520833333336</v>
      </c>
      <c r="B35" s="83">
        <v>1.0714331255850202</v>
      </c>
      <c r="C35" s="96">
        <v>1.5</v>
      </c>
      <c r="D35" s="86">
        <v>0.998371094704865</v>
      </c>
      <c r="E35" s="96">
        <v>1.5</v>
      </c>
      <c r="F35" s="86">
        <v>1.2049154994402966</v>
      </c>
      <c r="G35" s="96">
        <v>1.5</v>
      </c>
      <c r="H35" s="86">
        <v>1.0804688453916855</v>
      </c>
      <c r="I35" s="96">
        <v>1.5</v>
      </c>
      <c r="J35" s="38"/>
      <c r="K35" s="21"/>
    </row>
    <row r="36" spans="1:11" ht="12.75">
      <c r="A36" s="53">
        <v>35676.48263888889</v>
      </c>
      <c r="B36" s="83">
        <v>1.1074533058868303</v>
      </c>
      <c r="C36" s="96">
        <v>1.5</v>
      </c>
      <c r="D36" s="86">
        <v>1.0623765116143618</v>
      </c>
      <c r="E36" s="96">
        <v>1.5</v>
      </c>
      <c r="F36" s="86">
        <v>1.4523297961697115</v>
      </c>
      <c r="G36" s="96">
        <v>10</v>
      </c>
      <c r="H36" s="86">
        <v>1.1096938519832793</v>
      </c>
      <c r="I36" s="96">
        <v>1.5</v>
      </c>
      <c r="J36" s="38"/>
      <c r="K36" s="21"/>
    </row>
    <row r="37" spans="1:11" ht="12.75">
      <c r="A37" s="53">
        <v>35711.399305555555</v>
      </c>
      <c r="B37" s="83">
        <v>0.9798788329993693</v>
      </c>
      <c r="C37" s="96">
        <v>1.5</v>
      </c>
      <c r="D37" s="86">
        <v>1.1608926111226165</v>
      </c>
      <c r="E37" s="96">
        <v>1.5</v>
      </c>
      <c r="F37" s="86">
        <v>1.6163397936760324</v>
      </c>
      <c r="G37" s="54">
        <v>1.5</v>
      </c>
      <c r="H37" s="86">
        <v>1.1134551869810283</v>
      </c>
      <c r="I37" s="96">
        <v>1.5</v>
      </c>
      <c r="J37" s="38"/>
      <c r="K37" s="21"/>
    </row>
    <row r="38" spans="1:11" ht="12.75">
      <c r="A38" s="53">
        <v>35753.43402777778</v>
      </c>
      <c r="B38" s="83">
        <v>1.2571698222041165</v>
      </c>
      <c r="C38" s="96">
        <v>1.5</v>
      </c>
      <c r="D38" s="86">
        <v>1.1253432568590958</v>
      </c>
      <c r="E38" s="96">
        <v>1.5</v>
      </c>
      <c r="F38" s="86">
        <v>1.510283532136396</v>
      </c>
      <c r="G38" s="54">
        <v>1.5</v>
      </c>
      <c r="H38" s="86">
        <v>1.2744554865996702</v>
      </c>
      <c r="I38" s="96">
        <v>1.5</v>
      </c>
      <c r="J38" s="38"/>
      <c r="K38" s="21"/>
    </row>
    <row r="39" spans="1:11" ht="12.75">
      <c r="A39" s="53">
        <v>35782.572916666664</v>
      </c>
      <c r="B39" s="83">
        <v>1.2485026025199886</v>
      </c>
      <c r="C39" s="96">
        <v>1.5</v>
      </c>
      <c r="D39" s="86">
        <v>1.1873600254773125</v>
      </c>
      <c r="E39" s="96">
        <v>1.5</v>
      </c>
      <c r="F39" s="86">
        <v>1.4439993874687784</v>
      </c>
      <c r="G39" s="96">
        <v>1.5</v>
      </c>
      <c r="H39" s="86">
        <v>1.2830742724148425</v>
      </c>
      <c r="I39" s="96">
        <v>1.5</v>
      </c>
      <c r="J39" s="38"/>
      <c r="K39" s="21"/>
    </row>
    <row r="40" spans="9:12" ht="12.75">
      <c r="I40" s="31"/>
      <c r="J40" s="31"/>
      <c r="K40" s="21"/>
      <c r="L40" s="15"/>
    </row>
    <row r="41" spans="1:12" ht="15.75">
      <c r="A41" s="51" t="s">
        <v>143</v>
      </c>
      <c r="B41" s="46" t="s">
        <v>142</v>
      </c>
      <c r="D41" t="s">
        <v>282</v>
      </c>
      <c r="J41" s="31"/>
      <c r="K41" s="28"/>
      <c r="L41" s="15"/>
    </row>
    <row r="42" spans="1:11" s="7" customFormat="1" ht="12.75">
      <c r="A42"/>
      <c r="B42" s="116" t="s">
        <v>11</v>
      </c>
      <c r="C42" s="116"/>
      <c r="D42" s="116" t="s">
        <v>12</v>
      </c>
      <c r="E42" s="116"/>
      <c r="F42" s="116" t="s">
        <v>13</v>
      </c>
      <c r="G42" s="116"/>
      <c r="H42" s="116" t="s">
        <v>136</v>
      </c>
      <c r="I42" s="116"/>
      <c r="J42" s="37"/>
      <c r="K42" s="36"/>
    </row>
    <row r="43" spans="1:11" s="50" customFormat="1" ht="12.75">
      <c r="A43"/>
      <c r="B43" s="68" t="s">
        <v>179</v>
      </c>
      <c r="C43" s="67" t="s">
        <v>152</v>
      </c>
      <c r="D43" s="68" t="s">
        <v>179</v>
      </c>
      <c r="E43" s="67" t="s">
        <v>152</v>
      </c>
      <c r="F43" s="68" t="s">
        <v>179</v>
      </c>
      <c r="G43" s="67" t="s">
        <v>152</v>
      </c>
      <c r="H43" s="68" t="s">
        <v>179</v>
      </c>
      <c r="I43" s="67" t="s">
        <v>152</v>
      </c>
      <c r="J43" s="52"/>
      <c r="K43" s="49"/>
    </row>
    <row r="44" spans="1:11" ht="12.75">
      <c r="A44" s="53">
        <v>35471</v>
      </c>
      <c r="B44" s="100">
        <v>14.835543949525087</v>
      </c>
      <c r="C44" s="54">
        <v>1.5</v>
      </c>
      <c r="D44" s="101">
        <v>12.011341161174746</v>
      </c>
      <c r="E44" s="54">
        <v>1.5</v>
      </c>
      <c r="F44" s="101">
        <v>16.065635270128233</v>
      </c>
      <c r="G44" s="54">
        <v>1.5</v>
      </c>
      <c r="H44" s="100">
        <v>13.732472646397664</v>
      </c>
      <c r="I44" s="101">
        <v>1.5</v>
      </c>
      <c r="K44" s="27"/>
    </row>
    <row r="45" spans="1:11" ht="12.75">
      <c r="A45" s="53">
        <v>35487</v>
      </c>
      <c r="B45" s="100">
        <v>13.270968901555158</v>
      </c>
      <c r="C45" s="54">
        <v>1.5</v>
      </c>
      <c r="D45" s="101">
        <v>13.270968901555158</v>
      </c>
      <c r="E45" s="54">
        <v>3</v>
      </c>
      <c r="F45" s="101">
        <v>15.59572146760025</v>
      </c>
      <c r="G45" s="54">
        <v>1.5</v>
      </c>
      <c r="H45" s="100">
        <v>13.694331083982485</v>
      </c>
      <c r="I45" s="101">
        <v>1.5</v>
      </c>
      <c r="J45" s="38"/>
      <c r="K45" s="27"/>
    </row>
    <row r="46" spans="1:11" ht="12.75">
      <c r="A46" s="53">
        <v>35501</v>
      </c>
      <c r="B46" s="100">
        <v>16.419099624275894</v>
      </c>
      <c r="C46" s="54">
        <v>1.5</v>
      </c>
      <c r="D46" s="101">
        <v>14.31183184021181</v>
      </c>
      <c r="E46" s="54">
        <v>1.5</v>
      </c>
      <c r="F46" s="101">
        <v>14.195743368069095</v>
      </c>
      <c r="G46" s="54">
        <v>1.5</v>
      </c>
      <c r="H46" s="100">
        <v>15.419914646876185</v>
      </c>
      <c r="I46" s="100">
        <v>1.5</v>
      </c>
      <c r="J46" s="38"/>
      <c r="K46" s="27"/>
    </row>
    <row r="47" spans="1:11" ht="12.75">
      <c r="A47" s="53">
        <v>35537</v>
      </c>
      <c r="B47" s="100">
        <v>15.010585638658103</v>
      </c>
      <c r="C47" s="54">
        <v>1.5</v>
      </c>
      <c r="D47" s="101">
        <v>13.270968901555158</v>
      </c>
      <c r="E47" s="54">
        <v>1.5</v>
      </c>
      <c r="F47" s="101">
        <v>15.830480505123669</v>
      </c>
      <c r="G47" s="54">
        <v>1.5</v>
      </c>
      <c r="H47" s="100">
        <v>14.689854572150727</v>
      </c>
      <c r="I47" s="100">
        <v>1.5</v>
      </c>
      <c r="J47" s="38"/>
      <c r="K47" s="27"/>
    </row>
    <row r="48" spans="1:11" ht="12.75">
      <c r="A48" s="53">
        <v>35577</v>
      </c>
      <c r="B48" s="100">
        <v>15.713051235764947</v>
      </c>
      <c r="C48" s="54">
        <v>3</v>
      </c>
      <c r="D48" s="101">
        <v>7.566549700248266</v>
      </c>
      <c r="E48" s="54">
        <v>1.5</v>
      </c>
      <c r="F48" s="101">
        <v>12.125257647281899</v>
      </c>
      <c r="G48" s="54">
        <v>1.5</v>
      </c>
      <c r="H48" s="100">
        <v>15.830480505123669</v>
      </c>
      <c r="I48" s="100">
        <v>1.5</v>
      </c>
      <c r="J48" s="38"/>
      <c r="K48" s="27"/>
    </row>
    <row r="49" spans="1:11" ht="12.75">
      <c r="A49" s="53">
        <v>35599</v>
      </c>
      <c r="B49" s="100">
        <v>9.982723441214423</v>
      </c>
      <c r="C49" s="54">
        <v>1.5</v>
      </c>
      <c r="D49" s="101">
        <v>5.809345279764942</v>
      </c>
      <c r="E49" s="54">
        <v>1.5</v>
      </c>
      <c r="F49" s="101">
        <v>10.654165317037764</v>
      </c>
      <c r="G49" s="54">
        <v>1.5</v>
      </c>
      <c r="H49" s="100">
        <v>10.850924499945746</v>
      </c>
      <c r="I49" s="101">
        <v>1.5</v>
      </c>
      <c r="J49" s="38"/>
      <c r="K49" s="27"/>
    </row>
    <row r="50" spans="1:11" ht="12.75">
      <c r="A50" s="53">
        <v>35620.5</v>
      </c>
      <c r="B50" s="100">
        <v>8.985188639142223</v>
      </c>
      <c r="C50" s="54">
        <v>1.5</v>
      </c>
      <c r="D50" s="101">
        <v>8.655386336921175</v>
      </c>
      <c r="E50" s="54">
        <v>1.5</v>
      </c>
      <c r="F50" s="101">
        <v>13.732472646397664</v>
      </c>
      <c r="G50" s="54">
        <v>1.5</v>
      </c>
      <c r="H50" s="100">
        <v>8.985188639142223</v>
      </c>
      <c r="I50" s="101">
        <v>1.5</v>
      </c>
      <c r="J50" s="38"/>
      <c r="K50" s="27"/>
    </row>
    <row r="51" spans="1:11" ht="12.75">
      <c r="A51" s="53">
        <v>35654.520833333336</v>
      </c>
      <c r="B51" s="100">
        <v>9.095431261534564</v>
      </c>
      <c r="C51" s="54">
        <v>1.5</v>
      </c>
      <c r="D51" s="101">
        <v>8.217866432779768</v>
      </c>
      <c r="E51" s="54">
        <v>1.5</v>
      </c>
      <c r="F51" s="101">
        <v>10.766549123685122</v>
      </c>
      <c r="G51" s="54">
        <v>1.5</v>
      </c>
      <c r="H51" s="100">
        <v>9.205825722914392</v>
      </c>
      <c r="I51" s="101">
        <v>1.5</v>
      </c>
      <c r="J51" s="38"/>
      <c r="K51" s="27"/>
    </row>
    <row r="52" spans="1:11" ht="12.75">
      <c r="A52" s="53">
        <v>35676.48263888889</v>
      </c>
      <c r="B52" s="100">
        <v>9.537906183508612</v>
      </c>
      <c r="C52" s="54">
        <v>1.5</v>
      </c>
      <c r="D52" s="101">
        <v>8.985188639142223</v>
      </c>
      <c r="E52" s="54">
        <v>1.5</v>
      </c>
      <c r="F52" s="101">
        <v>14.07976252315023</v>
      </c>
      <c r="G52" s="54">
        <v>10</v>
      </c>
      <c r="H52" s="100">
        <v>9.565639512085074</v>
      </c>
      <c r="I52" s="101">
        <v>1.5</v>
      </c>
      <c r="J52" s="38"/>
      <c r="K52" s="27"/>
    </row>
    <row r="53" spans="1:11" ht="12.75">
      <c r="A53" s="53">
        <v>35711.399305555555</v>
      </c>
      <c r="B53" s="100">
        <v>8.000085311772688</v>
      </c>
      <c r="C53" s="54">
        <v>1.5</v>
      </c>
      <c r="D53" s="101">
        <v>10.205984855136471</v>
      </c>
      <c r="E53" s="54">
        <v>1.5</v>
      </c>
      <c r="F53" s="101">
        <v>16.419099624275894</v>
      </c>
      <c r="G53" s="54">
        <v>1.5</v>
      </c>
      <c r="H53" s="100">
        <v>9.61225204067103</v>
      </c>
      <c r="I53" s="101">
        <v>1.5</v>
      </c>
      <c r="J53" s="38"/>
      <c r="K53" s="27"/>
    </row>
    <row r="54" spans="1:11" ht="12.75">
      <c r="A54" s="53">
        <v>35753.43402777778</v>
      </c>
      <c r="B54" s="100">
        <v>11.443614053043442</v>
      </c>
      <c r="C54" s="54">
        <v>1.5</v>
      </c>
      <c r="D54" s="101">
        <v>9.76002723557972</v>
      </c>
      <c r="E54" s="54">
        <v>1.5</v>
      </c>
      <c r="F54" s="101">
        <v>14.8938652789173</v>
      </c>
      <c r="G54" s="54">
        <v>1.5</v>
      </c>
      <c r="H54" s="100">
        <v>11.670330140444927</v>
      </c>
      <c r="I54" s="101">
        <v>1.5</v>
      </c>
      <c r="J54" s="38"/>
      <c r="K54" s="27"/>
    </row>
    <row r="55" spans="1:11" ht="12.75">
      <c r="A55" s="53">
        <v>35782.572916666664</v>
      </c>
      <c r="B55" s="100">
        <v>11.330446234805265</v>
      </c>
      <c r="C55" s="101">
        <v>1.5</v>
      </c>
      <c r="D55" s="101">
        <v>10.541915872280807</v>
      </c>
      <c r="E55" s="101">
        <v>1.5</v>
      </c>
      <c r="F55" s="101">
        <v>13.96388999019079</v>
      </c>
      <c r="G55" s="101">
        <v>1.5</v>
      </c>
      <c r="H55" s="100">
        <v>11.783876495978713</v>
      </c>
      <c r="I55" s="101">
        <v>1.5</v>
      </c>
      <c r="J55" s="38"/>
      <c r="K55" s="27"/>
    </row>
    <row r="56" spans="1:11" s="54" customFormat="1" ht="12.75">
      <c r="A56" s="53"/>
      <c r="C56" s="53"/>
      <c r="E56" s="53"/>
      <c r="G56" s="53"/>
      <c r="J56" s="55"/>
      <c r="K56" s="56"/>
    </row>
    <row r="57" spans="9:11" ht="12.75">
      <c r="I57" s="31"/>
      <c r="J57" s="31"/>
      <c r="K57" s="27"/>
    </row>
    <row r="58" spans="1:11" ht="15.75">
      <c r="A58" s="51" t="s">
        <v>145</v>
      </c>
      <c r="B58" s="46" t="s">
        <v>144</v>
      </c>
      <c r="D58" t="s">
        <v>190</v>
      </c>
      <c r="J58" s="31"/>
      <c r="K58" s="27"/>
    </row>
    <row r="59" spans="2:11" ht="12.75">
      <c r="B59" s="116" t="s">
        <v>11</v>
      </c>
      <c r="C59" s="116"/>
      <c r="D59" s="116" t="s">
        <v>12</v>
      </c>
      <c r="E59" s="116"/>
      <c r="F59" s="116" t="s">
        <v>13</v>
      </c>
      <c r="G59" s="116"/>
      <c r="H59" s="116" t="s">
        <v>136</v>
      </c>
      <c r="I59" s="116"/>
      <c r="K59" s="27"/>
    </row>
    <row r="60" spans="2:11" ht="12.75">
      <c r="B60" s="68" t="s">
        <v>179</v>
      </c>
      <c r="C60" s="67" t="s">
        <v>152</v>
      </c>
      <c r="D60" s="68" t="s">
        <v>179</v>
      </c>
      <c r="E60" s="67" t="s">
        <v>152</v>
      </c>
      <c r="F60" s="68" t="s">
        <v>179</v>
      </c>
      <c r="G60" s="67" t="s">
        <v>152</v>
      </c>
      <c r="H60" s="68" t="s">
        <v>179</v>
      </c>
      <c r="I60" s="67" t="s">
        <v>152</v>
      </c>
      <c r="K60" s="27"/>
    </row>
    <row r="61" spans="1:11" ht="12.75">
      <c r="A61" s="45">
        <v>35471</v>
      </c>
      <c r="D61" s="83"/>
      <c r="F61" s="83"/>
      <c r="H61" s="83"/>
      <c r="K61" s="27"/>
    </row>
    <row r="62" spans="1:11" ht="12.75">
      <c r="A62" s="45">
        <v>35487</v>
      </c>
      <c r="D62" s="83"/>
      <c r="F62" s="83"/>
      <c r="H62" s="83"/>
      <c r="J62" s="38"/>
      <c r="K62" s="27"/>
    </row>
    <row r="63" spans="1:11" ht="12.75">
      <c r="A63" s="45">
        <v>35501</v>
      </c>
      <c r="B63" s="83">
        <v>299.48529401997206</v>
      </c>
      <c r="C63">
        <v>2.5</v>
      </c>
      <c r="D63" s="83">
        <v>271.05836080922614</v>
      </c>
      <c r="E63">
        <v>0.0025</v>
      </c>
      <c r="F63" s="83">
        <v>269.4602187520413</v>
      </c>
      <c r="G63">
        <v>2.5</v>
      </c>
      <c r="H63" s="83">
        <v>286.1393931728518</v>
      </c>
      <c r="I63">
        <v>2.5</v>
      </c>
      <c r="J63" s="38"/>
      <c r="K63" s="27"/>
    </row>
    <row r="64" spans="1:11" ht="12.75">
      <c r="A64" s="45">
        <v>35537</v>
      </c>
      <c r="B64" s="83"/>
      <c r="D64" s="83"/>
      <c r="F64" s="83"/>
      <c r="H64" s="83"/>
      <c r="J64" s="38"/>
      <c r="K64" s="27"/>
    </row>
    <row r="65" spans="1:11" ht="12.75">
      <c r="A65" s="45">
        <v>35577</v>
      </c>
      <c r="B65" s="83">
        <v>290.07867704818017</v>
      </c>
      <c r="C65">
        <v>2.5</v>
      </c>
      <c r="D65" s="83">
        <v>170.6437058303815</v>
      </c>
      <c r="E65">
        <v>0.0025</v>
      </c>
      <c r="F65" s="83">
        <v>240.31624353041738</v>
      </c>
      <c r="G65">
        <v>2.5</v>
      </c>
      <c r="H65" s="83">
        <v>291.6510771743569</v>
      </c>
      <c r="I65">
        <v>2.5</v>
      </c>
      <c r="J65" s="38"/>
      <c r="K65" s="27"/>
    </row>
    <row r="66" spans="1:11" ht="12.75">
      <c r="A66" s="45">
        <v>35599</v>
      </c>
      <c r="B66" s="83"/>
      <c r="D66" s="83"/>
      <c r="F66" s="83"/>
      <c r="H66" s="83"/>
      <c r="J66" s="38"/>
      <c r="K66" s="27"/>
    </row>
    <row r="67" spans="1:11" ht="12.75">
      <c r="A67" s="45">
        <v>35620.5</v>
      </c>
      <c r="B67" s="83">
        <v>193.31961290150008</v>
      </c>
      <c r="C67">
        <v>2.5</v>
      </c>
      <c r="D67" s="83">
        <v>188.1412831693746</v>
      </c>
      <c r="E67">
        <v>0.0025</v>
      </c>
      <c r="F67" s="83">
        <v>263.0464930363003</v>
      </c>
      <c r="G67">
        <v>2.5</v>
      </c>
      <c r="H67" s="83">
        <v>193.31961290150008</v>
      </c>
      <c r="I67">
        <v>2.5</v>
      </c>
      <c r="J67" s="38"/>
      <c r="K67" s="27"/>
    </row>
    <row r="68" spans="1:11" ht="12.75">
      <c r="A68" s="45">
        <v>35654.520833333336</v>
      </c>
      <c r="B68" s="83"/>
      <c r="D68" s="83"/>
      <c r="F68" s="83"/>
      <c r="H68" s="83"/>
      <c r="J68" s="38"/>
      <c r="K68" s="27"/>
    </row>
    <row r="69" spans="1:11" ht="12.75">
      <c r="A69" s="45">
        <v>35676.48263888889</v>
      </c>
      <c r="B69" s="83"/>
      <c r="D69" s="83"/>
      <c r="F69" s="83"/>
      <c r="H69" s="83"/>
      <c r="J69" s="38"/>
      <c r="K69" s="27"/>
    </row>
    <row r="70" spans="1:11" ht="12.75">
      <c r="A70" s="45">
        <v>35711.399305555555</v>
      </c>
      <c r="B70" s="83">
        <v>177.6882229007103</v>
      </c>
      <c r="C70">
        <v>8</v>
      </c>
      <c r="D70" s="83">
        <v>212.05444152695466</v>
      </c>
      <c r="E70">
        <v>0.0025</v>
      </c>
      <c r="F70" s="83">
        <v>299.48529401997206</v>
      </c>
      <c r="G70">
        <v>2.5</v>
      </c>
      <c r="H70" s="83">
        <v>203.0243360969028</v>
      </c>
      <c r="I70">
        <v>2.5</v>
      </c>
      <c r="J70" s="38"/>
      <c r="K70" s="27"/>
    </row>
    <row r="71" spans="1:11" ht="12.75">
      <c r="A71" s="45">
        <v>35753.43402777778</v>
      </c>
      <c r="D71" s="83"/>
      <c r="F71" s="83"/>
      <c r="H71" s="83"/>
      <c r="J71" s="38"/>
      <c r="K71" s="27"/>
    </row>
    <row r="72" spans="1:11" ht="12.75">
      <c r="A72" s="45">
        <v>35782.572916666664</v>
      </c>
      <c r="D72" s="83"/>
      <c r="F72" s="83"/>
      <c r="H72" s="83"/>
      <c r="J72" s="38"/>
      <c r="K72" s="27"/>
    </row>
    <row r="73" spans="9:11" ht="12.75">
      <c r="I73" s="20"/>
      <c r="J73" s="38"/>
      <c r="K73" s="27"/>
    </row>
    <row r="74" spans="1:11" ht="15.75">
      <c r="A74" s="51" t="s">
        <v>145</v>
      </c>
      <c r="B74" s="46" t="s">
        <v>142</v>
      </c>
      <c r="D74" t="s">
        <v>189</v>
      </c>
      <c r="J74" s="31"/>
      <c r="K74" s="27"/>
    </row>
    <row r="75" spans="2:11" ht="12.75">
      <c r="B75" s="116" t="s">
        <v>11</v>
      </c>
      <c r="C75" s="116"/>
      <c r="D75" s="116" t="s">
        <v>12</v>
      </c>
      <c r="E75" s="116"/>
      <c r="F75" s="116" t="s">
        <v>13</v>
      </c>
      <c r="G75" s="116"/>
      <c r="H75" s="116" t="s">
        <v>136</v>
      </c>
      <c r="I75" s="116"/>
      <c r="K75" s="27"/>
    </row>
    <row r="76" spans="2:11" ht="12.75">
      <c r="B76" s="68" t="s">
        <v>179</v>
      </c>
      <c r="C76" s="67" t="s">
        <v>152</v>
      </c>
      <c r="D76" s="68" t="s">
        <v>179</v>
      </c>
      <c r="E76" s="67" t="s">
        <v>152</v>
      </c>
      <c r="F76" s="68" t="s">
        <v>179</v>
      </c>
      <c r="G76" s="67" t="s">
        <v>152</v>
      </c>
      <c r="H76" s="68" t="s">
        <v>179</v>
      </c>
      <c r="I76" s="67" t="s">
        <v>152</v>
      </c>
      <c r="K76" s="27"/>
    </row>
    <row r="77" spans="1:11" ht="12.75">
      <c r="A77" s="45">
        <v>35471</v>
      </c>
      <c r="B77" s="83"/>
      <c r="D77" s="83"/>
      <c r="F77" s="83"/>
      <c r="H77" s="83"/>
      <c r="K77" s="27"/>
    </row>
    <row r="78" spans="1:11" ht="12.75">
      <c r="A78" s="45">
        <v>35487</v>
      </c>
      <c r="B78" s="83"/>
      <c r="D78" s="83"/>
      <c r="F78" s="83"/>
      <c r="H78" s="83"/>
      <c r="J78" s="38"/>
      <c r="K78" s="27"/>
    </row>
    <row r="79" spans="1:11" ht="12.75">
      <c r="A79" s="45">
        <v>35501</v>
      </c>
      <c r="B79" s="83">
        <v>2512.57980382736</v>
      </c>
      <c r="C79">
        <v>2.5</v>
      </c>
      <c r="D79" s="83">
        <v>2274.0874982074847</v>
      </c>
      <c r="E79">
        <v>2.5</v>
      </c>
      <c r="F79" s="83">
        <v>2260.6796296519674</v>
      </c>
      <c r="G79">
        <v>2.5</v>
      </c>
      <c r="H79" s="83">
        <v>2400.6122327915664</v>
      </c>
      <c r="I79">
        <v>2.5</v>
      </c>
      <c r="J79" s="38"/>
      <c r="K79" s="27"/>
    </row>
    <row r="80" spans="1:11" ht="12.75">
      <c r="A80" s="45">
        <v>35537</v>
      </c>
      <c r="B80" s="83"/>
      <c r="D80" s="83"/>
      <c r="F80" s="83"/>
      <c r="H80" s="83"/>
      <c r="J80" s="38"/>
      <c r="K80" s="27"/>
    </row>
    <row r="81" spans="1:11" ht="12.75">
      <c r="A81" s="45">
        <v>35577</v>
      </c>
      <c r="B81" s="83">
        <v>2433.6614853068927</v>
      </c>
      <c r="C81">
        <v>2.5</v>
      </c>
      <c r="D81" s="83">
        <v>1431.6426798942616</v>
      </c>
      <c r="E81">
        <v>2.5</v>
      </c>
      <c r="F81" s="83">
        <v>2016.1715853263802</v>
      </c>
      <c r="G81">
        <v>2.5</v>
      </c>
      <c r="H81" s="83">
        <v>2446.853387812473</v>
      </c>
      <c r="I81">
        <v>2.5</v>
      </c>
      <c r="J81" s="38"/>
      <c r="K81" s="27"/>
    </row>
    <row r="82" spans="1:11" ht="12.75">
      <c r="A82" s="45">
        <v>35599</v>
      </c>
      <c r="B82" s="83"/>
      <c r="D82" s="83"/>
      <c r="F82" s="83"/>
      <c r="H82" s="83"/>
      <c r="J82" s="38"/>
      <c r="K82" s="27"/>
    </row>
    <row r="83" spans="1:11" ht="12.75">
      <c r="A83" s="45">
        <v>35620.5</v>
      </c>
      <c r="B83" s="83">
        <v>1621.8858313211197</v>
      </c>
      <c r="C83">
        <v>2.5</v>
      </c>
      <c r="D83" s="83">
        <v>1578.4414052932104</v>
      </c>
      <c r="E83">
        <v>2.5</v>
      </c>
      <c r="F83" s="83">
        <v>2206.8706513066586</v>
      </c>
      <c r="G83">
        <v>2.5</v>
      </c>
      <c r="H83" s="83">
        <v>1621.8858313211197</v>
      </c>
      <c r="I83">
        <v>2.5</v>
      </c>
      <c r="J83" s="38"/>
      <c r="K83" s="27"/>
    </row>
    <row r="84" spans="1:11" ht="12.75">
      <c r="A84" s="45">
        <v>35654.520833333336</v>
      </c>
      <c r="B84" s="83"/>
      <c r="D84" s="83"/>
      <c r="F84" s="83"/>
      <c r="H84" s="83"/>
      <c r="J84" s="38"/>
      <c r="K84" s="27"/>
    </row>
    <row r="85" spans="1:11" ht="12.75">
      <c r="A85" s="45">
        <v>35676.48263888889</v>
      </c>
      <c r="B85" s="83"/>
      <c r="D85" s="83"/>
      <c r="F85" s="83"/>
      <c r="H85" s="83"/>
      <c r="J85" s="38"/>
      <c r="K85" s="27"/>
    </row>
    <row r="86" spans="1:11" ht="12.75">
      <c r="A86" s="45">
        <v>35711.399305555555</v>
      </c>
      <c r="B86" s="83">
        <v>1490.7437832607757</v>
      </c>
      <c r="C86">
        <v>8</v>
      </c>
      <c r="D86" s="83">
        <v>1779.0646743976154</v>
      </c>
      <c r="E86">
        <v>2.5</v>
      </c>
      <c r="F86" s="83">
        <v>2512.57980382736</v>
      </c>
      <c r="G86">
        <v>2.5</v>
      </c>
      <c r="H86" s="83">
        <v>1703.3051597135086</v>
      </c>
      <c r="I86">
        <v>2.5</v>
      </c>
      <c r="J86" s="38"/>
      <c r="K86" s="27"/>
    </row>
    <row r="87" spans="1:11" ht="12.75">
      <c r="A87" s="45">
        <v>35753.43402777778</v>
      </c>
      <c r="B87" s="83"/>
      <c r="D87" s="83"/>
      <c r="F87" s="83"/>
      <c r="H87" s="83"/>
      <c r="J87" s="38"/>
      <c r="K87" s="27"/>
    </row>
    <row r="88" spans="1:11" ht="12.75">
      <c r="A88" s="45">
        <v>35782.572916666664</v>
      </c>
      <c r="B88" s="83"/>
      <c r="D88" s="83"/>
      <c r="F88" s="83"/>
      <c r="H88" s="83"/>
      <c r="J88" s="38"/>
      <c r="K88" s="27"/>
    </row>
    <row r="89" spans="2:11" ht="12.75">
      <c r="B89" s="54"/>
      <c r="J89" s="38"/>
      <c r="K89" s="27"/>
    </row>
    <row r="90" spans="9:11" ht="12.75">
      <c r="I90" s="31"/>
      <c r="J90" s="31"/>
      <c r="K90" s="27"/>
    </row>
    <row r="91" spans="2:11" ht="12.75">
      <c r="B91" s="46" t="s">
        <v>142</v>
      </c>
      <c r="C91" s="47">
        <v>16</v>
      </c>
      <c r="G91" t="s">
        <v>153</v>
      </c>
      <c r="I91" s="31"/>
      <c r="J91" s="31"/>
      <c r="K91" s="27"/>
    </row>
    <row r="92" spans="1:11" ht="15.75">
      <c r="A92" s="51" t="s">
        <v>146</v>
      </c>
      <c r="B92" t="s">
        <v>154</v>
      </c>
      <c r="D92" t="s">
        <v>11</v>
      </c>
      <c r="E92" t="s">
        <v>12</v>
      </c>
      <c r="F92" t="s">
        <v>13</v>
      </c>
      <c r="G92" t="s">
        <v>136</v>
      </c>
      <c r="I92" s="15"/>
      <c r="J92" s="15"/>
      <c r="K92" s="27"/>
    </row>
    <row r="93" spans="2:11" ht="12.75">
      <c r="B93" s="46" t="s">
        <v>144</v>
      </c>
      <c r="C93" s="47">
        <v>11</v>
      </c>
      <c r="G93" t="s">
        <v>153</v>
      </c>
      <c r="I93" s="24"/>
      <c r="J93" s="38"/>
      <c r="K93" s="27"/>
    </row>
    <row r="94" spans="9:11" ht="12.75">
      <c r="I94" s="24"/>
      <c r="J94" s="38"/>
      <c r="K94" s="27"/>
    </row>
    <row r="95" spans="9:11" ht="12.75">
      <c r="I95" s="24"/>
      <c r="J95" s="38"/>
      <c r="K95" s="27"/>
    </row>
    <row r="96" spans="1:11" ht="15.75">
      <c r="A96" s="51" t="s">
        <v>147</v>
      </c>
      <c r="B96" s="46" t="s">
        <v>142</v>
      </c>
      <c r="D96" t="s">
        <v>188</v>
      </c>
      <c r="J96" s="31"/>
      <c r="K96" s="27"/>
    </row>
    <row r="97" spans="2:11" ht="12.75">
      <c r="B97" s="116" t="s">
        <v>11</v>
      </c>
      <c r="C97" s="116"/>
      <c r="D97" s="116" t="s">
        <v>12</v>
      </c>
      <c r="E97" s="116"/>
      <c r="F97" s="116" t="s">
        <v>13</v>
      </c>
      <c r="G97" s="116"/>
      <c r="H97" s="116" t="s">
        <v>136</v>
      </c>
      <c r="I97" s="116"/>
      <c r="K97" s="27"/>
    </row>
    <row r="98" spans="1:11" s="44" customFormat="1" ht="12.75">
      <c r="A98"/>
      <c r="B98" s="68" t="s">
        <v>179</v>
      </c>
      <c r="C98" s="67" t="s">
        <v>152</v>
      </c>
      <c r="D98" s="68" t="s">
        <v>179</v>
      </c>
      <c r="E98" s="67" t="s">
        <v>152</v>
      </c>
      <c r="F98" s="68" t="s">
        <v>179</v>
      </c>
      <c r="G98" s="67" t="s">
        <v>152</v>
      </c>
      <c r="H98" s="68" t="s">
        <v>179</v>
      </c>
      <c r="I98" s="67" t="s">
        <v>152</v>
      </c>
      <c r="K98" s="43"/>
    </row>
    <row r="99" spans="1:11" ht="12.75">
      <c r="A99" s="45">
        <v>35471</v>
      </c>
      <c r="B99" s="83">
        <v>24.92523814249467</v>
      </c>
      <c r="C99">
        <v>10</v>
      </c>
      <c r="D99" s="83">
        <v>20.894587522349674</v>
      </c>
      <c r="E99">
        <v>10</v>
      </c>
      <c r="F99" s="83">
        <v>26.64007715812804</v>
      </c>
      <c r="G99">
        <v>10</v>
      </c>
      <c r="H99" s="83">
        <v>23.367464748730857</v>
      </c>
      <c r="I99">
        <v>8.3</v>
      </c>
      <c r="K99" s="27"/>
    </row>
    <row r="100" spans="1:11" ht="12.75">
      <c r="A100" s="45">
        <v>35487</v>
      </c>
      <c r="B100" s="83">
        <v>22.709673048795036</v>
      </c>
      <c r="C100">
        <v>10</v>
      </c>
      <c r="D100" s="83">
        <v>22.709673048795036</v>
      </c>
      <c r="E100">
        <v>5</v>
      </c>
      <c r="F100" s="83">
        <v>25.98762788255062</v>
      </c>
      <c r="G100">
        <v>5</v>
      </c>
      <c r="H100" s="83">
        <v>23.31324034652681</v>
      </c>
      <c r="I100">
        <v>5</v>
      </c>
      <c r="J100" s="38"/>
      <c r="K100" s="27"/>
    </row>
    <row r="101" spans="1:11" ht="12.75">
      <c r="A101" s="45">
        <v>35501</v>
      </c>
      <c r="B101" s="83">
        <v>27.128770255583404</v>
      </c>
      <c r="C101">
        <v>10</v>
      </c>
      <c r="D101" s="83">
        <v>24.1881136206097</v>
      </c>
      <c r="E101">
        <v>5</v>
      </c>
      <c r="F101" s="83">
        <v>24.02412231788491</v>
      </c>
      <c r="G101">
        <v>5</v>
      </c>
      <c r="H101" s="83">
        <v>25.742701438619367</v>
      </c>
      <c r="I101">
        <v>5</v>
      </c>
      <c r="J101" s="38"/>
      <c r="K101" s="27"/>
    </row>
    <row r="102" spans="1:11" ht="12.75">
      <c r="A102" s="45">
        <v>35537</v>
      </c>
      <c r="B102" s="83">
        <v>25.170647455266653</v>
      </c>
      <c r="C102">
        <v>5</v>
      </c>
      <c r="D102" s="83">
        <v>22.709673048795036</v>
      </c>
      <c r="E102">
        <v>5</v>
      </c>
      <c r="F102" s="83">
        <v>26.31397657522751</v>
      </c>
      <c r="G102">
        <v>5</v>
      </c>
      <c r="H102" s="83">
        <v>24.72061715232194</v>
      </c>
      <c r="I102">
        <v>8.8</v>
      </c>
      <c r="J102" s="38"/>
      <c r="K102" s="27"/>
    </row>
    <row r="103" spans="1:11" ht="12.75">
      <c r="A103" s="45">
        <v>35577</v>
      </c>
      <c r="B103" s="83">
        <v>26.150833459180586</v>
      </c>
      <c r="C103">
        <v>5</v>
      </c>
      <c r="D103" s="83">
        <v>14.203576038426322</v>
      </c>
      <c r="E103">
        <v>5</v>
      </c>
      <c r="F103" s="83">
        <v>21.05998343301882</v>
      </c>
      <c r="G103">
        <v>5</v>
      </c>
      <c r="H103" s="83">
        <v>26.31397657522751</v>
      </c>
      <c r="I103">
        <v>5</v>
      </c>
      <c r="J103" s="38"/>
      <c r="K103" s="27"/>
    </row>
    <row r="104" spans="1:11" ht="12.75">
      <c r="A104" s="45">
        <v>35599</v>
      </c>
      <c r="B104" s="83">
        <v>17.90296874852719</v>
      </c>
      <c r="C104">
        <v>5</v>
      </c>
      <c r="D104" s="83">
        <v>11.390206756614067</v>
      </c>
      <c r="E104">
        <v>7.5</v>
      </c>
      <c r="F104" s="83">
        <v>18.90335326638297</v>
      </c>
      <c r="G104">
        <v>5</v>
      </c>
      <c r="H104" s="83">
        <v>19.194513508733383</v>
      </c>
      <c r="I104">
        <v>7.5</v>
      </c>
      <c r="J104" s="38"/>
      <c r="K104" s="27"/>
    </row>
    <row r="105" spans="1:11" ht="12.75">
      <c r="A105" s="45">
        <v>35620.5</v>
      </c>
      <c r="B105" s="83">
        <v>16.395865465690978</v>
      </c>
      <c r="C105">
        <v>5</v>
      </c>
      <c r="D105" s="83">
        <v>15.891640044067094</v>
      </c>
      <c r="E105">
        <v>10</v>
      </c>
      <c r="F105" s="83">
        <v>23.367464748730857</v>
      </c>
      <c r="G105">
        <v>5</v>
      </c>
      <c r="H105" s="83">
        <v>16.395865465690978</v>
      </c>
      <c r="I105">
        <v>6.7</v>
      </c>
      <c r="J105" s="38"/>
      <c r="K105" s="27"/>
    </row>
    <row r="106" spans="1:11" ht="12.75">
      <c r="A106" s="45">
        <v>35654.520833333336</v>
      </c>
      <c r="B106" s="83">
        <v>16.56372796778051</v>
      </c>
      <c r="C106">
        <v>5</v>
      </c>
      <c r="D106" s="83">
        <v>15.217803325525747</v>
      </c>
      <c r="E106">
        <v>5</v>
      </c>
      <c r="F106" s="83">
        <v>19.06976396413978</v>
      </c>
      <c r="G106">
        <v>5</v>
      </c>
      <c r="H106" s="83">
        <v>16.731486172768513</v>
      </c>
      <c r="I106">
        <v>5</v>
      </c>
      <c r="J106" s="38"/>
      <c r="K106" s="27"/>
    </row>
    <row r="107" spans="1:11" ht="12.75">
      <c r="A107" s="45">
        <v>35676.48263888889</v>
      </c>
      <c r="B107" s="83">
        <v>17.23414661247295</v>
      </c>
      <c r="C107">
        <v>5</v>
      </c>
      <c r="D107" s="83">
        <v>16.395865465690978</v>
      </c>
      <c r="E107">
        <v>5</v>
      </c>
      <c r="F107" s="83">
        <v>23.860062313942752</v>
      </c>
      <c r="G107">
        <v>2.5</v>
      </c>
      <c r="H107" s="83">
        <v>17.27599404689329</v>
      </c>
      <c r="I107">
        <v>5</v>
      </c>
      <c r="J107" s="38"/>
      <c r="K107" s="27"/>
    </row>
    <row r="108" spans="1:11" ht="12.75">
      <c r="A108" s="45">
        <v>35711.399305555555</v>
      </c>
      <c r="B108" s="83">
        <v>14.880202239338159</v>
      </c>
      <c r="C108">
        <v>5</v>
      </c>
      <c r="D108" s="83">
        <v>18.23680222582747</v>
      </c>
      <c r="E108">
        <v>10</v>
      </c>
      <c r="F108" s="83">
        <v>27.128770255583404</v>
      </c>
      <c r="G108">
        <v>10</v>
      </c>
      <c r="H108" s="83">
        <v>17.346283748507414</v>
      </c>
      <c r="I108">
        <v>10</v>
      </c>
      <c r="J108" s="38"/>
      <c r="K108" s="27"/>
    </row>
    <row r="109" spans="1:11" ht="12.75">
      <c r="A109" s="45">
        <v>35753.43402777778</v>
      </c>
      <c r="B109" s="83">
        <v>20.06638803150912</v>
      </c>
      <c r="C109">
        <v>5</v>
      </c>
      <c r="D109" s="83">
        <v>17.568752936161868</v>
      </c>
      <c r="E109">
        <v>5</v>
      </c>
      <c r="F109" s="83">
        <v>25.007057645827516</v>
      </c>
      <c r="G109">
        <v>5</v>
      </c>
      <c r="H109" s="83">
        <v>20.39791476167027</v>
      </c>
      <c r="I109">
        <v>5</v>
      </c>
      <c r="J109" s="38"/>
      <c r="K109" s="27"/>
    </row>
    <row r="110" spans="1:11" ht="12.75">
      <c r="A110" s="45">
        <v>35782.572916666664</v>
      </c>
      <c r="B110" s="83">
        <v>19.90049892035459</v>
      </c>
      <c r="C110">
        <v>5</v>
      </c>
      <c r="D110" s="83">
        <v>18.736852650113526</v>
      </c>
      <c r="E110">
        <v>5</v>
      </c>
      <c r="F110" s="83">
        <v>23.695933078208306</v>
      </c>
      <c r="G110">
        <v>5</v>
      </c>
      <c r="H110" s="83">
        <v>20.563553913547892</v>
      </c>
      <c r="I110">
        <v>6.7</v>
      </c>
      <c r="J110" s="38"/>
      <c r="K110" s="27"/>
    </row>
    <row r="111" spans="9:11" ht="12.75">
      <c r="I111" s="31"/>
      <c r="J111" s="31"/>
      <c r="K111" s="27"/>
    </row>
    <row r="112" spans="1:11" ht="15.75">
      <c r="A112" s="51" t="s">
        <v>147</v>
      </c>
      <c r="B112" s="46" t="s">
        <v>144</v>
      </c>
      <c r="D112" t="s">
        <v>187</v>
      </c>
      <c r="J112" s="31"/>
      <c r="K112" s="27"/>
    </row>
    <row r="113" spans="1:11" s="7" customFormat="1" ht="12.75">
      <c r="A113"/>
      <c r="B113" s="116" t="s">
        <v>11</v>
      </c>
      <c r="C113" s="116"/>
      <c r="D113" s="116" t="s">
        <v>12</v>
      </c>
      <c r="E113" s="116"/>
      <c r="F113" s="116" t="s">
        <v>13</v>
      </c>
      <c r="G113" s="116"/>
      <c r="H113" s="116" t="s">
        <v>136</v>
      </c>
      <c r="I113" s="116"/>
      <c r="K113" s="36"/>
    </row>
    <row r="114" spans="1:11" s="44" customFormat="1" ht="12.75">
      <c r="A114"/>
      <c r="B114" s="68" t="s">
        <v>179</v>
      </c>
      <c r="C114" s="67" t="s">
        <v>152</v>
      </c>
      <c r="D114" s="68" t="s">
        <v>179</v>
      </c>
      <c r="E114" s="67" t="s">
        <v>152</v>
      </c>
      <c r="F114" s="68" t="s">
        <v>179</v>
      </c>
      <c r="G114" s="67" t="s">
        <v>152</v>
      </c>
      <c r="H114" s="68" t="s">
        <v>179</v>
      </c>
      <c r="I114" s="67" t="s">
        <v>152</v>
      </c>
      <c r="K114" s="43"/>
    </row>
    <row r="115" spans="1:11" ht="12.75">
      <c r="A115" s="45">
        <v>35471</v>
      </c>
      <c r="B115" s="83">
        <v>16.09861571047659</v>
      </c>
      <c r="C115">
        <v>10</v>
      </c>
      <c r="D115" s="83">
        <v>13.718715903301407</v>
      </c>
      <c r="E115">
        <v>10</v>
      </c>
      <c r="F115" s="83">
        <v>17.09995785289247</v>
      </c>
      <c r="G115">
        <v>10</v>
      </c>
      <c r="H115" s="83">
        <v>15.183421002459749</v>
      </c>
      <c r="I115">
        <v>8.3</v>
      </c>
      <c r="K115" s="27"/>
    </row>
    <row r="116" spans="1:11" ht="12.75">
      <c r="A116" s="45">
        <v>35487</v>
      </c>
      <c r="B116" s="83">
        <v>14.795279658652152</v>
      </c>
      <c r="C116">
        <v>10</v>
      </c>
      <c r="D116" s="83">
        <v>14.795279658652152</v>
      </c>
      <c r="E116">
        <v>5</v>
      </c>
      <c r="F116" s="83">
        <v>16.719703241839756</v>
      </c>
      <c r="G116">
        <v>5</v>
      </c>
      <c r="H116" s="83">
        <v>15.151463802694412</v>
      </c>
      <c r="I116">
        <v>5</v>
      </c>
      <c r="J116" s="38"/>
      <c r="K116" s="27"/>
    </row>
    <row r="117" spans="1:11" ht="12.75">
      <c r="A117" s="45">
        <v>35501</v>
      </c>
      <c r="B117" s="83">
        <v>17.38420509270477</v>
      </c>
      <c r="C117">
        <v>10</v>
      </c>
      <c r="D117" s="83">
        <v>15.666238390006189</v>
      </c>
      <c r="E117">
        <v>5</v>
      </c>
      <c r="F117" s="83">
        <v>15.569879926505795</v>
      </c>
      <c r="G117">
        <v>5</v>
      </c>
      <c r="H117" s="83">
        <v>16.57672904080056</v>
      </c>
      <c r="I117">
        <v>5</v>
      </c>
      <c r="J117" s="38"/>
      <c r="K117" s="27"/>
    </row>
    <row r="118" spans="1:11" ht="12.75">
      <c r="A118" s="45">
        <v>35537</v>
      </c>
      <c r="B118" s="83">
        <v>16.24230052912616</v>
      </c>
      <c r="C118">
        <v>5</v>
      </c>
      <c r="D118" s="83">
        <v>14.795279658652152</v>
      </c>
      <c r="E118">
        <v>5</v>
      </c>
      <c r="F118" s="83">
        <v>16.91001254980605</v>
      </c>
      <c r="G118">
        <v>5</v>
      </c>
      <c r="H118" s="83">
        <v>15.978711409510359</v>
      </c>
      <c r="I118">
        <v>8.8</v>
      </c>
      <c r="J118" s="38"/>
      <c r="K118" s="27"/>
    </row>
    <row r="119" spans="1:11" ht="12.75">
      <c r="A119" s="45">
        <v>35577</v>
      </c>
      <c r="B119" s="83">
        <v>16.814903740556833</v>
      </c>
      <c r="C119">
        <v>5</v>
      </c>
      <c r="D119" s="83">
        <v>9.666759937058785</v>
      </c>
      <c r="E119">
        <v>5</v>
      </c>
      <c r="F119" s="83">
        <v>13.817165475216747</v>
      </c>
      <c r="G119">
        <v>5</v>
      </c>
      <c r="H119" s="83">
        <v>16.91001254980605</v>
      </c>
      <c r="I119">
        <v>5</v>
      </c>
      <c r="J119" s="38"/>
      <c r="K119" s="27"/>
    </row>
    <row r="120" spans="1:11" ht="12.75">
      <c r="A120" s="45">
        <v>35599</v>
      </c>
      <c r="B120" s="83">
        <v>11.924802581666581</v>
      </c>
      <c r="C120">
        <v>5</v>
      </c>
      <c r="D120" s="83">
        <v>7.912943391465273</v>
      </c>
      <c r="E120">
        <v>7.5</v>
      </c>
      <c r="F120" s="83">
        <v>12.527575305483678</v>
      </c>
      <c r="G120">
        <v>5</v>
      </c>
      <c r="H120" s="83">
        <v>12.702446998962147</v>
      </c>
      <c r="I120">
        <v>7.5</v>
      </c>
      <c r="J120" s="38"/>
      <c r="K120" s="27"/>
    </row>
    <row r="121" spans="1:11" ht="12.75">
      <c r="A121" s="45">
        <v>35620.5</v>
      </c>
      <c r="B121" s="83">
        <v>11.010708938598976</v>
      </c>
      <c r="C121">
        <v>5</v>
      </c>
      <c r="D121" s="83">
        <v>10.703168059117688</v>
      </c>
      <c r="E121">
        <v>10</v>
      </c>
      <c r="F121" s="83">
        <v>15.183421002459749</v>
      </c>
      <c r="G121">
        <v>5</v>
      </c>
      <c r="H121" s="83">
        <v>11.010708938598976</v>
      </c>
      <c r="I121">
        <v>6.7</v>
      </c>
      <c r="J121" s="38"/>
      <c r="K121" s="27"/>
    </row>
    <row r="122" spans="1:11" ht="12.75">
      <c r="A122" s="45">
        <v>35654.520833333336</v>
      </c>
      <c r="B122" s="83">
        <v>11.112896346153475</v>
      </c>
      <c r="C122">
        <v>5</v>
      </c>
      <c r="D122" s="83">
        <v>10.290750670789372</v>
      </c>
      <c r="E122">
        <v>5</v>
      </c>
      <c r="F122" s="83">
        <v>12.62755250800161</v>
      </c>
      <c r="G122">
        <v>5</v>
      </c>
      <c r="H122" s="83">
        <v>11.214924001558188</v>
      </c>
      <c r="I122">
        <v>5</v>
      </c>
      <c r="J122" s="38"/>
      <c r="K122" s="27"/>
    </row>
    <row r="123" spans="1:11" ht="12.75">
      <c r="A123" s="45">
        <v>35676.48263888889</v>
      </c>
      <c r="B123" s="83">
        <v>11.520067690145188</v>
      </c>
      <c r="C123">
        <v>5</v>
      </c>
      <c r="D123" s="83">
        <v>11.010708938598976</v>
      </c>
      <c r="E123">
        <v>5</v>
      </c>
      <c r="F123" s="83">
        <v>15.473419813136795</v>
      </c>
      <c r="G123">
        <v>2.5</v>
      </c>
      <c r="H123" s="83">
        <v>11.545433808506719</v>
      </c>
      <c r="I123">
        <v>5</v>
      </c>
      <c r="J123" s="38"/>
      <c r="K123" s="27"/>
    </row>
    <row r="124" spans="1:11" ht="12.75">
      <c r="A124" s="45">
        <v>35711.399305555555</v>
      </c>
      <c r="B124" s="83">
        <v>10.083488653693557</v>
      </c>
      <c r="C124">
        <v>5</v>
      </c>
      <c r="D124" s="83">
        <v>12.126291182620138</v>
      </c>
      <c r="E124">
        <v>10</v>
      </c>
      <c r="F124" s="83">
        <v>17.38420509270477</v>
      </c>
      <c r="G124">
        <v>10</v>
      </c>
      <c r="H124" s="83">
        <v>11.588027546515796</v>
      </c>
      <c r="I124">
        <v>10</v>
      </c>
      <c r="J124" s="38"/>
      <c r="K124" s="27"/>
    </row>
    <row r="125" spans="1:11" ht="12.75">
      <c r="A125" s="45">
        <v>35753.43402777778</v>
      </c>
      <c r="B125" s="83">
        <v>13.224637592471165</v>
      </c>
      <c r="C125">
        <v>5</v>
      </c>
      <c r="D125" s="83">
        <v>11.722732576219515</v>
      </c>
      <c r="E125">
        <v>5</v>
      </c>
      <c r="F125" s="83">
        <v>16.14653482112861</v>
      </c>
      <c r="G125">
        <v>5</v>
      </c>
      <c r="H125" s="83">
        <v>13.4226397958749</v>
      </c>
      <c r="I125">
        <v>5</v>
      </c>
      <c r="J125" s="38"/>
      <c r="K125" s="27"/>
    </row>
    <row r="126" spans="1:11" ht="12.75">
      <c r="A126" s="45">
        <v>35782.572916666664</v>
      </c>
      <c r="B126" s="83">
        <v>13.12544734190586</v>
      </c>
      <c r="C126">
        <v>5</v>
      </c>
      <c r="D126" s="83">
        <v>12.427462058056234</v>
      </c>
      <c r="E126">
        <v>5</v>
      </c>
      <c r="F126" s="83">
        <v>15.376857199506215</v>
      </c>
      <c r="G126">
        <v>5</v>
      </c>
      <c r="H126" s="83">
        <v>13.52145424438202</v>
      </c>
      <c r="I126">
        <v>6.7</v>
      </c>
      <c r="J126" s="38"/>
      <c r="K126" s="27"/>
    </row>
    <row r="127" spans="9:11" ht="12.75">
      <c r="I127" s="31"/>
      <c r="J127" s="31"/>
      <c r="K127" s="27"/>
    </row>
    <row r="128" spans="9:11" ht="12.75">
      <c r="I128" s="31"/>
      <c r="J128" s="31"/>
      <c r="K128" s="27"/>
    </row>
    <row r="129" spans="1:11" ht="15.75">
      <c r="A129" s="51" t="s">
        <v>148</v>
      </c>
      <c r="B129" s="46" t="s">
        <v>142</v>
      </c>
      <c r="D129" t="s">
        <v>186</v>
      </c>
      <c r="J129" s="31"/>
      <c r="K129" s="27"/>
    </row>
    <row r="130" spans="2:11" ht="12.75">
      <c r="B130" s="116" t="s">
        <v>11</v>
      </c>
      <c r="C130" s="116"/>
      <c r="D130" s="116" t="s">
        <v>12</v>
      </c>
      <c r="E130" s="116"/>
      <c r="F130" s="116" t="s">
        <v>13</v>
      </c>
      <c r="G130" s="116"/>
      <c r="H130" s="116" t="s">
        <v>136</v>
      </c>
      <c r="I130" s="116"/>
      <c r="K130" s="27"/>
    </row>
    <row r="131" spans="2:11" ht="12.75">
      <c r="B131" s="68" t="s">
        <v>179</v>
      </c>
      <c r="C131" s="67" t="s">
        <v>152</v>
      </c>
      <c r="D131" s="68" t="s">
        <v>179</v>
      </c>
      <c r="E131" s="67" t="s">
        <v>152</v>
      </c>
      <c r="F131" s="68" t="s">
        <v>179</v>
      </c>
      <c r="G131" s="67" t="s">
        <v>152</v>
      </c>
      <c r="H131" s="68" t="s">
        <v>179</v>
      </c>
      <c r="I131" s="67" t="s">
        <v>152</v>
      </c>
      <c r="K131" s="27"/>
    </row>
    <row r="132" spans="1:11" ht="12.75">
      <c r="A132" s="45">
        <v>35471</v>
      </c>
      <c r="B132" s="83">
        <v>171.7496365323823</v>
      </c>
      <c r="C132">
        <v>20</v>
      </c>
      <c r="D132" s="83">
        <v>126.94178768298806</v>
      </c>
      <c r="E132">
        <v>20</v>
      </c>
      <c r="F132" s="83">
        <v>192.4951699756615</v>
      </c>
      <c r="G132">
        <v>20</v>
      </c>
      <c r="H132" s="83">
        <v>153.7659604279935</v>
      </c>
      <c r="I132">
        <v>20</v>
      </c>
      <c r="K132" s="27"/>
    </row>
    <row r="133" spans="1:11" ht="12.75">
      <c r="A133" s="45">
        <v>35487</v>
      </c>
      <c r="B133" s="83">
        <v>146.4222587475684</v>
      </c>
      <c r="C133">
        <v>20</v>
      </c>
      <c r="D133" s="83">
        <v>146.4222587475684</v>
      </c>
      <c r="E133">
        <v>20</v>
      </c>
      <c r="F133" s="83">
        <v>184.4860540662038</v>
      </c>
      <c r="G133">
        <v>20</v>
      </c>
      <c r="H133" s="83">
        <v>153.15493527994587</v>
      </c>
      <c r="I133">
        <v>20</v>
      </c>
      <c r="J133" s="38"/>
      <c r="K133" s="27"/>
    </row>
    <row r="134" spans="1:11" ht="12.75">
      <c r="A134" s="45">
        <v>35501</v>
      </c>
      <c r="B134" s="83">
        <v>198.58668925434583</v>
      </c>
      <c r="C134">
        <v>20</v>
      </c>
      <c r="D134" s="83">
        <v>163.13670123602213</v>
      </c>
      <c r="E134">
        <v>40</v>
      </c>
      <c r="F134" s="83">
        <v>161.24569389494792</v>
      </c>
      <c r="G134">
        <v>20</v>
      </c>
      <c r="H134" s="83">
        <v>181.51614275891987</v>
      </c>
      <c r="I134">
        <v>65</v>
      </c>
      <c r="J134" s="38"/>
      <c r="K134" s="27"/>
    </row>
    <row r="135" spans="1:11" ht="12.75">
      <c r="A135" s="45">
        <v>35537</v>
      </c>
      <c r="B135" s="83">
        <v>174.65797749696884</v>
      </c>
      <c r="C135">
        <v>20</v>
      </c>
      <c r="D135" s="83">
        <v>146.4222587475684</v>
      </c>
      <c r="E135">
        <v>20</v>
      </c>
      <c r="F135" s="83">
        <v>188.47441440245092</v>
      </c>
      <c r="G135">
        <v>20</v>
      </c>
      <c r="H135" s="83">
        <v>169.34024765598002</v>
      </c>
      <c r="I135">
        <v>17.5</v>
      </c>
      <c r="J135" s="38"/>
      <c r="K135" s="27"/>
    </row>
    <row r="136" spans="1:11" ht="12.75">
      <c r="A136" s="45">
        <v>35577</v>
      </c>
      <c r="B136" s="83">
        <v>186.47617454399415</v>
      </c>
      <c r="C136">
        <v>20</v>
      </c>
      <c r="D136" s="83">
        <v>65.50879393400389</v>
      </c>
      <c r="E136">
        <v>20</v>
      </c>
      <c r="F136" s="83">
        <v>128.6688006786376</v>
      </c>
      <c r="G136" s="54">
        <v>20</v>
      </c>
      <c r="H136" s="83">
        <v>188.47441440245092</v>
      </c>
      <c r="I136">
        <v>20</v>
      </c>
      <c r="J136" s="38"/>
      <c r="K136" s="27"/>
    </row>
    <row r="137" spans="1:11" ht="12.75">
      <c r="A137" s="45">
        <v>35599</v>
      </c>
      <c r="B137" s="83">
        <v>97.40685719618627</v>
      </c>
      <c r="C137">
        <v>20</v>
      </c>
      <c r="D137" s="83">
        <v>44.87437664656222</v>
      </c>
      <c r="E137">
        <v>30</v>
      </c>
      <c r="F137" s="86">
        <v>106.92033258783317</v>
      </c>
      <c r="G137" s="54">
        <v>100</v>
      </c>
      <c r="H137" s="83">
        <v>109.75829573546983</v>
      </c>
      <c r="I137">
        <v>25</v>
      </c>
      <c r="J137" s="38"/>
      <c r="K137" s="27"/>
    </row>
    <row r="138" spans="1:11" ht="12.75">
      <c r="A138" s="45">
        <v>35620.5</v>
      </c>
      <c r="B138" s="83">
        <v>83.77915204176897</v>
      </c>
      <c r="C138">
        <v>40</v>
      </c>
      <c r="D138" s="83">
        <v>79.41204125522972</v>
      </c>
      <c r="E138">
        <v>40</v>
      </c>
      <c r="F138" s="83">
        <v>153.7659604279935</v>
      </c>
      <c r="G138" s="54">
        <v>20</v>
      </c>
      <c r="H138" s="83">
        <v>83.77915204176897</v>
      </c>
      <c r="I138">
        <v>20</v>
      </c>
      <c r="J138" s="38"/>
      <c r="K138" s="27"/>
    </row>
    <row r="139" spans="1:11" ht="12.75">
      <c r="A139" s="45">
        <v>35654.520833333336</v>
      </c>
      <c r="B139" s="83">
        <v>85.25456486587909</v>
      </c>
      <c r="C139">
        <v>20</v>
      </c>
      <c r="D139" s="83">
        <v>73.72878176772647</v>
      </c>
      <c r="E139">
        <v>20</v>
      </c>
      <c r="F139" s="83">
        <v>108.53856043537859</v>
      </c>
      <c r="G139" s="54">
        <v>20</v>
      </c>
      <c r="H139" s="83">
        <v>86.73976372076848</v>
      </c>
      <c r="I139">
        <v>20</v>
      </c>
      <c r="J139" s="38"/>
      <c r="K139" s="27"/>
    </row>
    <row r="140" spans="1:11" ht="12.75">
      <c r="A140" s="45">
        <v>35676.48263888889</v>
      </c>
      <c r="B140" s="83">
        <v>91.2536770498344</v>
      </c>
      <c r="C140">
        <v>20</v>
      </c>
      <c r="D140" s="83">
        <v>83.77915204176897</v>
      </c>
      <c r="E140">
        <v>20</v>
      </c>
      <c r="F140" s="86">
        <v>159.36309244123737</v>
      </c>
      <c r="G140" s="54">
        <v>100</v>
      </c>
      <c r="H140" s="83">
        <v>91.63376247482493</v>
      </c>
      <c r="I140">
        <v>20</v>
      </c>
      <c r="J140" s="38"/>
      <c r="K140" s="27"/>
    </row>
    <row r="141" spans="1:11" ht="12.75">
      <c r="A141" s="45">
        <v>35711.399305555555</v>
      </c>
      <c r="B141" s="83">
        <v>70.94775871524475</v>
      </c>
      <c r="C141">
        <v>20</v>
      </c>
      <c r="D141" s="83">
        <v>100.54047373843635</v>
      </c>
      <c r="E141">
        <v>20</v>
      </c>
      <c r="F141" s="83">
        <v>198.58668925434583</v>
      </c>
      <c r="G141">
        <v>20</v>
      </c>
      <c r="H141" s="83">
        <v>92.30417261826568</v>
      </c>
      <c r="I141">
        <v>20</v>
      </c>
      <c r="J141" s="38"/>
      <c r="K141" s="27"/>
    </row>
    <row r="142" spans="1:11" ht="12.75">
      <c r="A142" s="45">
        <v>35753.43402777778</v>
      </c>
      <c r="B142" s="83">
        <v>118.44079961885897</v>
      </c>
      <c r="C142">
        <v>20</v>
      </c>
      <c r="D142" s="83">
        <v>94.31116053333227</v>
      </c>
      <c r="E142">
        <v>20</v>
      </c>
      <c r="F142" s="83">
        <v>172.71701714250958</v>
      </c>
      <c r="G142">
        <v>20</v>
      </c>
      <c r="H142" s="83">
        <v>121.81426182722129</v>
      </c>
      <c r="I142">
        <v>20</v>
      </c>
      <c r="J142" s="38"/>
      <c r="K142" s="27"/>
    </row>
    <row r="143" spans="1:11" ht="12.75">
      <c r="A143" s="45">
        <v>35782.572916666664</v>
      </c>
      <c r="B143" s="83">
        <v>116.76762510557056</v>
      </c>
      <c r="C143">
        <v>20</v>
      </c>
      <c r="D143" s="83">
        <v>105.31137617686767</v>
      </c>
      <c r="E143">
        <v>20</v>
      </c>
      <c r="F143" s="83">
        <v>157.48892045701095</v>
      </c>
      <c r="G143">
        <v>20</v>
      </c>
      <c r="H143" s="83">
        <v>123.51448910952807</v>
      </c>
      <c r="I143">
        <v>20</v>
      </c>
      <c r="J143" s="38"/>
      <c r="K143" s="27"/>
    </row>
    <row r="144" spans="9:11" ht="12.75">
      <c r="I144" s="31"/>
      <c r="J144" s="31"/>
      <c r="K144" s="27"/>
    </row>
    <row r="145" spans="1:11" ht="15.75">
      <c r="A145" s="84" t="s">
        <v>148</v>
      </c>
      <c r="B145" s="85" t="s">
        <v>144</v>
      </c>
      <c r="C145" s="86"/>
      <c r="D145" s="54" t="s">
        <v>185</v>
      </c>
      <c r="F145" s="54"/>
      <c r="G145" s="54"/>
      <c r="H145" s="54"/>
      <c r="I145" s="54"/>
      <c r="J145" s="31"/>
      <c r="K145" s="27"/>
    </row>
    <row r="146" spans="2:11" ht="12.75">
      <c r="B146" s="117" t="s">
        <v>11</v>
      </c>
      <c r="C146" s="117"/>
      <c r="D146" s="118" t="s">
        <v>12</v>
      </c>
      <c r="E146" s="118"/>
      <c r="F146" s="117" t="s">
        <v>13</v>
      </c>
      <c r="G146" s="117"/>
      <c r="H146" s="117" t="s">
        <v>136</v>
      </c>
      <c r="I146" s="117"/>
      <c r="K146" s="27"/>
    </row>
    <row r="147" spans="1:11" s="48" customFormat="1" ht="12.75">
      <c r="A147"/>
      <c r="B147" s="88" t="s">
        <v>179</v>
      </c>
      <c r="C147" s="87" t="s">
        <v>152</v>
      </c>
      <c r="D147" s="88" t="s">
        <v>179</v>
      </c>
      <c r="E147" s="87" t="s">
        <v>152</v>
      </c>
      <c r="F147" s="88" t="s">
        <v>179</v>
      </c>
      <c r="G147" s="87" t="s">
        <v>152</v>
      </c>
      <c r="H147" s="88" t="s">
        <v>179</v>
      </c>
      <c r="I147" s="87" t="s">
        <v>152</v>
      </c>
      <c r="K147" s="49"/>
    </row>
    <row r="148" spans="1:11" ht="12.75">
      <c r="A148" s="53">
        <v>35471</v>
      </c>
      <c r="B148" s="86">
        <v>6.490222053709677</v>
      </c>
      <c r="C148" s="96">
        <v>20</v>
      </c>
      <c r="D148" s="86">
        <v>4.977949153940403</v>
      </c>
      <c r="E148" s="96">
        <v>20</v>
      </c>
      <c r="F148" s="86">
        <v>7.173271578334037</v>
      </c>
      <c r="G148" s="96">
        <v>20</v>
      </c>
      <c r="H148" s="86">
        <v>5.889899864177526</v>
      </c>
      <c r="I148" s="96">
        <v>20</v>
      </c>
      <c r="K148" s="27"/>
    </row>
    <row r="149" spans="1:11" ht="12.75">
      <c r="A149" s="53">
        <v>35487</v>
      </c>
      <c r="B149" s="86">
        <v>5.642325573757613</v>
      </c>
      <c r="C149" s="96">
        <v>20</v>
      </c>
      <c r="D149" s="86">
        <v>5.642325573757613</v>
      </c>
      <c r="E149" s="96">
        <v>20</v>
      </c>
      <c r="F149" s="86">
        <v>6.910695000976689</v>
      </c>
      <c r="G149" s="96">
        <v>20</v>
      </c>
      <c r="H149" s="86">
        <v>5.869356870066914</v>
      </c>
      <c r="I149" s="96">
        <v>20</v>
      </c>
      <c r="J149" s="38"/>
      <c r="K149" s="27"/>
    </row>
    <row r="150" spans="1:11" ht="12.75">
      <c r="A150" s="53">
        <v>35501</v>
      </c>
      <c r="B150" s="86">
        <v>7.372083056154704</v>
      </c>
      <c r="C150" s="96">
        <v>20</v>
      </c>
      <c r="D150" s="86">
        <v>6.203722798642502</v>
      </c>
      <c r="E150" s="96">
        <v>40</v>
      </c>
      <c r="F150" s="86">
        <v>6.140575527383056</v>
      </c>
      <c r="G150" s="96">
        <v>20</v>
      </c>
      <c r="H150" s="86">
        <v>6.812975023849755</v>
      </c>
      <c r="I150" s="96">
        <v>65</v>
      </c>
      <c r="J150" s="38"/>
      <c r="K150" s="27"/>
    </row>
    <row r="151" spans="1:11" ht="12.75">
      <c r="A151" s="53">
        <v>35537</v>
      </c>
      <c r="B151" s="86">
        <v>6.58656331845108</v>
      </c>
      <c r="C151" s="96">
        <v>20</v>
      </c>
      <c r="D151" s="86">
        <v>5.642325573757613</v>
      </c>
      <c r="E151" s="96">
        <v>20</v>
      </c>
      <c r="F151" s="86">
        <v>7.041623103277415</v>
      </c>
      <c r="G151" s="96">
        <v>20</v>
      </c>
      <c r="H151" s="86">
        <v>6.410257652035544</v>
      </c>
      <c r="I151" s="96">
        <f>0.0175*1000</f>
        <v>17.5</v>
      </c>
      <c r="J151" s="38"/>
      <c r="K151" s="27"/>
    </row>
    <row r="152" spans="1:11" ht="12.75">
      <c r="A152" s="53">
        <v>35577</v>
      </c>
      <c r="B152" s="86">
        <v>6.976068659246523</v>
      </c>
      <c r="C152" s="96">
        <v>20</v>
      </c>
      <c r="D152" s="86">
        <v>2.7857234519310734</v>
      </c>
      <c r="E152" s="96">
        <v>20</v>
      </c>
      <c r="F152" s="86">
        <v>5.037328084389702</v>
      </c>
      <c r="G152" s="96">
        <v>20</v>
      </c>
      <c r="H152" s="86">
        <v>7.041623103277415</v>
      </c>
      <c r="I152" s="96">
        <v>20</v>
      </c>
      <c r="J152" s="38"/>
      <c r="K152" s="27"/>
    </row>
    <row r="153" spans="1:11" ht="12.75">
      <c r="A153" s="53">
        <v>35599</v>
      </c>
      <c r="B153" s="86">
        <v>3.9456976089443834</v>
      </c>
      <c r="C153" s="96">
        <v>20</v>
      </c>
      <c r="D153" s="86">
        <v>1.9987680402750256</v>
      </c>
      <c r="E153" s="96">
        <v>30</v>
      </c>
      <c r="F153" s="86">
        <v>4.281906945721976</v>
      </c>
      <c r="G153" s="96">
        <v>100</v>
      </c>
      <c r="H153" s="86">
        <v>4.381478464244387</v>
      </c>
      <c r="I153" s="96">
        <f>0.025*1000</f>
        <v>25</v>
      </c>
      <c r="J153" s="38"/>
      <c r="K153" s="27"/>
    </row>
    <row r="154" spans="1:11" ht="12.75">
      <c r="A154" s="53">
        <v>35620.5</v>
      </c>
      <c r="B154" s="86">
        <v>3.4569075359553194</v>
      </c>
      <c r="C154" s="96">
        <v>40</v>
      </c>
      <c r="D154" s="86">
        <v>3.2982688367840014</v>
      </c>
      <c r="E154" s="96">
        <v>40</v>
      </c>
      <c r="F154" s="86">
        <v>5.889899864177526</v>
      </c>
      <c r="G154" s="96">
        <v>20</v>
      </c>
      <c r="H154" s="86">
        <v>3.4569075359553194</v>
      </c>
      <c r="I154" s="96">
        <v>20</v>
      </c>
      <c r="J154" s="38"/>
      <c r="K154" s="27"/>
    </row>
    <row r="155" spans="1:11" ht="12.75">
      <c r="A155" s="53">
        <v>35654.520833333336</v>
      </c>
      <c r="B155" s="86">
        <v>3.5102718400906703</v>
      </c>
      <c r="C155" s="96">
        <v>20</v>
      </c>
      <c r="D155" s="86">
        <v>3.0902031418468687</v>
      </c>
      <c r="E155" s="96">
        <v>20</v>
      </c>
      <c r="F155" s="86">
        <v>4.338722495194019</v>
      </c>
      <c r="G155" s="96">
        <v>20</v>
      </c>
      <c r="H155" s="86">
        <v>3.5638759637961046</v>
      </c>
      <c r="I155" s="96">
        <v>20</v>
      </c>
      <c r="J155" s="38"/>
      <c r="K155" s="27"/>
    </row>
    <row r="156" spans="1:11" ht="12.75">
      <c r="A156" s="53">
        <v>35676.48263888889</v>
      </c>
      <c r="B156" s="86">
        <v>3.7261124686223632</v>
      </c>
      <c r="C156" s="96">
        <v>20</v>
      </c>
      <c r="D156" s="86">
        <v>3.4569075359553194</v>
      </c>
      <c r="E156" s="96">
        <v>20</v>
      </c>
      <c r="F156" s="86">
        <v>6.077618784016169</v>
      </c>
      <c r="G156" s="96">
        <v>100</v>
      </c>
      <c r="H156" s="86">
        <v>3.739727770722882</v>
      </c>
      <c r="I156" s="96">
        <v>20</v>
      </c>
      <c r="J156" s="38"/>
      <c r="K156" s="27"/>
    </row>
    <row r="157" spans="1:11" ht="12.75">
      <c r="A157" s="53">
        <v>35711.399305555555</v>
      </c>
      <c r="B157" s="86">
        <v>2.9876799245884103</v>
      </c>
      <c r="C157" s="96">
        <v>20</v>
      </c>
      <c r="D157" s="86">
        <v>4.05686690052124</v>
      </c>
      <c r="E157" s="96">
        <v>20</v>
      </c>
      <c r="F157" s="86">
        <v>7.372083056154704</v>
      </c>
      <c r="G157" s="96">
        <v>20</v>
      </c>
      <c r="H157" s="86">
        <v>3.7637261571381315</v>
      </c>
      <c r="I157" s="96">
        <v>20</v>
      </c>
      <c r="J157" s="38"/>
      <c r="K157" s="27"/>
    </row>
    <row r="158" spans="1:11" ht="12.75">
      <c r="A158" s="53">
        <v>35753.43402777778</v>
      </c>
      <c r="B158" s="86">
        <v>4.684190903305726</v>
      </c>
      <c r="C158" s="96">
        <v>20</v>
      </c>
      <c r="D158" s="86">
        <v>3.835442557003892</v>
      </c>
      <c r="E158" s="96">
        <v>20</v>
      </c>
      <c r="F158" s="86">
        <v>6.522289375376809</v>
      </c>
      <c r="G158" s="96">
        <v>20</v>
      </c>
      <c r="H158" s="86">
        <v>4.801062755476187</v>
      </c>
      <c r="I158" s="96">
        <v>20</v>
      </c>
      <c r="J158" s="38"/>
      <c r="K158" s="27"/>
    </row>
    <row r="159" spans="1:11" ht="12.75">
      <c r="A159" s="53">
        <v>35782.572916666664</v>
      </c>
      <c r="B159" s="86">
        <v>4.626073902356507</v>
      </c>
      <c r="C159" s="96">
        <v>20</v>
      </c>
      <c r="D159" s="86">
        <v>4.225312389237063</v>
      </c>
      <c r="E159" s="96">
        <v>20</v>
      </c>
      <c r="F159" s="86">
        <v>6.014853378110049</v>
      </c>
      <c r="G159" s="96">
        <v>20</v>
      </c>
      <c r="H159" s="86">
        <v>4.859815458106412</v>
      </c>
      <c r="I159" s="96">
        <v>20</v>
      </c>
      <c r="J159" s="38"/>
      <c r="K159" s="27"/>
    </row>
    <row r="160" spans="9:11" ht="12.75">
      <c r="I160" s="31"/>
      <c r="J160" s="31"/>
      <c r="K160" s="27"/>
    </row>
    <row r="161" spans="9:11" ht="12.75">
      <c r="I161" s="31"/>
      <c r="J161" s="31"/>
      <c r="K161" s="27"/>
    </row>
    <row r="162" spans="1:11" ht="15.75">
      <c r="A162" s="51" t="s">
        <v>149</v>
      </c>
      <c r="B162" s="46" t="s">
        <v>142</v>
      </c>
      <c r="D162" t="s">
        <v>184</v>
      </c>
      <c r="J162" s="31"/>
      <c r="K162" s="27"/>
    </row>
    <row r="163" spans="1:11" s="7" customFormat="1" ht="12.75">
      <c r="A163"/>
      <c r="B163" s="116" t="s">
        <v>11</v>
      </c>
      <c r="C163" s="116"/>
      <c r="D163" s="116" t="s">
        <v>12</v>
      </c>
      <c r="E163" s="116"/>
      <c r="F163" s="116" t="s">
        <v>13</v>
      </c>
      <c r="G163" s="116"/>
      <c r="H163" s="116" t="s">
        <v>136</v>
      </c>
      <c r="I163" s="116"/>
      <c r="K163" s="36"/>
    </row>
    <row r="164" spans="1:11" s="50" customFormat="1" ht="12.75">
      <c r="A164"/>
      <c r="B164" s="68" t="s">
        <v>179</v>
      </c>
      <c r="C164" s="67" t="s">
        <v>152</v>
      </c>
      <c r="D164" s="68" t="s">
        <v>179</v>
      </c>
      <c r="E164" s="67" t="s">
        <v>152</v>
      </c>
      <c r="F164" s="68" t="s">
        <v>179</v>
      </c>
      <c r="G164" s="67" t="s">
        <v>152</v>
      </c>
      <c r="H164" s="68" t="s">
        <v>179</v>
      </c>
      <c r="I164" s="67" t="s">
        <v>152</v>
      </c>
      <c r="K164" s="49"/>
    </row>
    <row r="165" spans="1:11" ht="12.75">
      <c r="A165" s="45">
        <v>35471</v>
      </c>
      <c r="B165" s="83"/>
      <c r="D165" s="83"/>
      <c r="F165" s="83"/>
      <c r="H165" s="83"/>
      <c r="K165" s="27"/>
    </row>
    <row r="166" spans="1:11" ht="12.75">
      <c r="A166" s="45">
        <v>35487</v>
      </c>
      <c r="B166" s="83"/>
      <c r="D166" s="83"/>
      <c r="E166" t="s">
        <v>156</v>
      </c>
      <c r="F166" s="83"/>
      <c r="H166" s="83"/>
      <c r="J166" s="38"/>
      <c r="K166" s="27"/>
    </row>
    <row r="167" spans="1:11" ht="12.75">
      <c r="A167" s="45">
        <v>35501</v>
      </c>
      <c r="B167" s="83">
        <v>1303.419939782651</v>
      </c>
      <c r="C167">
        <v>5</v>
      </c>
      <c r="D167" s="83">
        <v>1188.2063607578066</v>
      </c>
      <c r="E167">
        <f>0.005*1000</f>
        <v>5</v>
      </c>
      <c r="F167" s="83">
        <v>1181.7040675064447</v>
      </c>
      <c r="G167">
        <v>5</v>
      </c>
      <c r="H167" s="83">
        <v>1249.4323014119032</v>
      </c>
      <c r="I167">
        <v>5</v>
      </c>
      <c r="J167" s="38"/>
      <c r="K167" s="27"/>
    </row>
    <row r="168" spans="1:11" ht="12.75">
      <c r="A168" s="45">
        <v>35537</v>
      </c>
      <c r="B168" s="83"/>
      <c r="D168" s="83"/>
      <c r="F168" s="83"/>
      <c r="H168" s="83"/>
      <c r="J168" s="38"/>
      <c r="K168" s="27"/>
    </row>
    <row r="169" spans="1:11" ht="12.75">
      <c r="A169" s="45">
        <v>35577</v>
      </c>
      <c r="B169" s="83">
        <v>1265.3862315948095</v>
      </c>
      <c r="C169">
        <v>5</v>
      </c>
      <c r="D169" s="83">
        <v>773.3876169610604</v>
      </c>
      <c r="E169">
        <v>5</v>
      </c>
      <c r="F169" s="83">
        <v>1062.6209445810696</v>
      </c>
      <c r="G169">
        <v>5</v>
      </c>
      <c r="H169" s="83">
        <v>1271.7500154394213</v>
      </c>
      <c r="I169">
        <v>5</v>
      </c>
      <c r="J169" s="38"/>
      <c r="K169" s="27"/>
    </row>
    <row r="170" spans="1:11" ht="12.75">
      <c r="A170" s="45">
        <v>35599</v>
      </c>
      <c r="B170" s="83"/>
      <c r="D170" s="83"/>
      <c r="F170" s="83"/>
      <c r="H170" s="83"/>
      <c r="J170" s="38"/>
      <c r="K170" s="27"/>
    </row>
    <row r="171" spans="1:11" ht="12.75">
      <c r="A171" s="45">
        <v>35620.5</v>
      </c>
      <c r="B171" s="83">
        <v>868.3191388372729</v>
      </c>
      <c r="C171">
        <v>5</v>
      </c>
      <c r="D171" s="83">
        <v>846.7145636600662</v>
      </c>
      <c r="E171">
        <v>5</v>
      </c>
      <c r="F171" s="83">
        <v>1155.5806778022193</v>
      </c>
      <c r="G171">
        <v>5</v>
      </c>
      <c r="H171" s="83">
        <v>868.3191388372729</v>
      </c>
      <c r="I171">
        <v>5</v>
      </c>
      <c r="J171" s="38"/>
      <c r="K171" s="27"/>
    </row>
    <row r="172" spans="1:11" ht="12.75">
      <c r="A172" s="45">
        <v>35654.520833333336</v>
      </c>
      <c r="B172" s="83"/>
      <c r="D172" s="83"/>
      <c r="F172" s="83"/>
      <c r="H172" s="83"/>
      <c r="J172" s="38"/>
      <c r="K172" s="27"/>
    </row>
    <row r="173" spans="1:11" ht="12.75">
      <c r="A173" s="45">
        <v>35676.48263888889</v>
      </c>
      <c r="B173" s="83"/>
      <c r="D173" s="83"/>
      <c r="F173" s="83"/>
      <c r="H173" s="83"/>
      <c r="J173" s="38"/>
      <c r="K173" s="27"/>
    </row>
    <row r="174" spans="1:11" ht="12.75">
      <c r="A174" s="45">
        <v>35711.399305555555</v>
      </c>
      <c r="B174" s="83">
        <v>802.9712113429276</v>
      </c>
      <c r="C174">
        <v>5</v>
      </c>
      <c r="D174" s="83">
        <v>946.1432939060188</v>
      </c>
      <c r="E174">
        <v>5</v>
      </c>
      <c r="F174" s="83">
        <v>1303.419939782651</v>
      </c>
      <c r="G174">
        <v>5</v>
      </c>
      <c r="H174" s="83">
        <v>908.6970693452985</v>
      </c>
      <c r="I174">
        <v>5</v>
      </c>
      <c r="J174" s="38"/>
      <c r="K174" s="27"/>
    </row>
    <row r="175" spans="1:11" ht="12.75">
      <c r="A175" s="45">
        <v>35753.43402777778</v>
      </c>
      <c r="B175" s="83"/>
      <c r="D175" s="83"/>
      <c r="F175" s="83"/>
      <c r="H175" s="83"/>
      <c r="J175" s="38"/>
      <c r="K175" s="27"/>
    </row>
    <row r="176" spans="1:11" ht="12.75">
      <c r="A176" s="45">
        <v>35782.572916666664</v>
      </c>
      <c r="B176" s="83"/>
      <c r="D176" s="83"/>
      <c r="F176" s="83"/>
      <c r="H176" s="83"/>
      <c r="J176" s="38"/>
      <c r="K176" s="27"/>
    </row>
    <row r="177" spans="9:11" ht="12.75">
      <c r="I177" s="31"/>
      <c r="J177" s="31"/>
      <c r="K177" s="27"/>
    </row>
    <row r="178" spans="1:11" ht="15.75">
      <c r="A178" s="51" t="s">
        <v>149</v>
      </c>
      <c r="B178" s="46" t="s">
        <v>144</v>
      </c>
      <c r="D178" t="s">
        <v>183</v>
      </c>
      <c r="J178" s="31"/>
      <c r="K178" s="27"/>
    </row>
    <row r="179" spans="1:11" s="7" customFormat="1" ht="12.75">
      <c r="A179"/>
      <c r="B179" s="116" t="s">
        <v>11</v>
      </c>
      <c r="C179" s="116"/>
      <c r="D179" s="116" t="s">
        <v>12</v>
      </c>
      <c r="E179" s="116"/>
      <c r="F179" s="116" t="s">
        <v>13</v>
      </c>
      <c r="G179" s="116"/>
      <c r="H179" s="116" t="s">
        <v>136</v>
      </c>
      <c r="I179" s="116"/>
      <c r="K179" s="36"/>
    </row>
    <row r="180" spans="1:11" s="44" customFormat="1" ht="12.75">
      <c r="A180"/>
      <c r="B180" s="68" t="s">
        <v>179</v>
      </c>
      <c r="C180" s="67" t="s">
        <v>152</v>
      </c>
      <c r="D180" s="68" t="s">
        <v>179</v>
      </c>
      <c r="E180" s="67" t="s">
        <v>152</v>
      </c>
      <c r="F180" s="68" t="s">
        <v>179</v>
      </c>
      <c r="G180" s="67" t="s">
        <v>152</v>
      </c>
      <c r="H180" s="68" t="s">
        <v>179</v>
      </c>
      <c r="I180" s="67" t="s">
        <v>152</v>
      </c>
      <c r="K180" s="43"/>
    </row>
    <row r="181" spans="1:11" ht="12.75">
      <c r="A181" s="45">
        <v>35471</v>
      </c>
      <c r="B181" s="83"/>
      <c r="D181" s="83"/>
      <c r="F181" s="83"/>
      <c r="H181" s="83"/>
      <c r="K181" s="27"/>
    </row>
    <row r="182" spans="1:11" ht="12.75">
      <c r="A182" s="45">
        <v>35487</v>
      </c>
      <c r="B182" s="83"/>
      <c r="D182" s="83"/>
      <c r="E182" t="s">
        <v>156</v>
      </c>
      <c r="F182" s="83"/>
      <c r="H182" s="83"/>
      <c r="J182" s="38"/>
      <c r="K182" s="27"/>
    </row>
    <row r="183" spans="1:11" ht="12.75">
      <c r="A183" s="45">
        <v>35501</v>
      </c>
      <c r="B183" s="83">
        <v>134.6591555427288</v>
      </c>
      <c r="C183">
        <v>5</v>
      </c>
      <c r="D183" s="83">
        <v>122.75618951849559</v>
      </c>
      <c r="E183">
        <v>5</v>
      </c>
      <c r="F183" s="83">
        <v>122.08442342715774</v>
      </c>
      <c r="G183">
        <v>5</v>
      </c>
      <c r="H183" s="83">
        <v>129.0815749251088</v>
      </c>
      <c r="I183">
        <v>5</v>
      </c>
      <c r="J183" s="38"/>
      <c r="K183" s="27"/>
    </row>
    <row r="184" spans="1:11" ht="12.75">
      <c r="A184" s="45">
        <v>35537</v>
      </c>
      <c r="B184" s="83"/>
      <c r="D184" s="83"/>
      <c r="F184" s="83"/>
      <c r="H184" s="83"/>
      <c r="J184" s="38"/>
      <c r="K184" s="27"/>
    </row>
    <row r="185" spans="1:11" ht="12.75">
      <c r="A185" s="45">
        <v>35577</v>
      </c>
      <c r="B185" s="83">
        <v>130.72981023319844</v>
      </c>
      <c r="C185">
        <v>5</v>
      </c>
      <c r="D185" s="83">
        <v>79.90036075752076</v>
      </c>
      <c r="E185">
        <v>5</v>
      </c>
      <c r="F185" s="83">
        <v>109.78168638663354</v>
      </c>
      <c r="G185">
        <v>5</v>
      </c>
      <c r="H185" s="83">
        <v>131.38726661576288</v>
      </c>
      <c r="I185">
        <v>5</v>
      </c>
      <c r="J185" s="38"/>
      <c r="K185" s="27"/>
    </row>
    <row r="186" spans="1:11" ht="12.75">
      <c r="A186" s="45">
        <v>35599</v>
      </c>
      <c r="B186" s="83"/>
      <c r="D186" s="83"/>
      <c r="F186" s="83"/>
      <c r="H186" s="83"/>
      <c r="J186" s="38"/>
      <c r="K186" s="27"/>
    </row>
    <row r="187" spans="1:11" ht="12.75">
      <c r="A187" s="45">
        <v>35620.5</v>
      </c>
      <c r="B187" s="83">
        <v>89.70794324115887</v>
      </c>
      <c r="C187">
        <v>5</v>
      </c>
      <c r="D187" s="83">
        <v>87.47592747983234</v>
      </c>
      <c r="E187">
        <v>5</v>
      </c>
      <c r="F187" s="83">
        <v>119.38555908565391</v>
      </c>
      <c r="G187">
        <v>5</v>
      </c>
      <c r="H187" s="83">
        <v>89.70794324115887</v>
      </c>
      <c r="I187">
        <v>5</v>
      </c>
      <c r="J187" s="38"/>
      <c r="K187" s="27"/>
    </row>
    <row r="188" spans="1:11" ht="12.75">
      <c r="A188" s="45">
        <v>35654.520833333336</v>
      </c>
      <c r="B188" s="83"/>
      <c r="D188" s="83"/>
      <c r="F188" s="83"/>
      <c r="H188" s="83"/>
      <c r="J188" s="38"/>
      <c r="K188" s="27"/>
    </row>
    <row r="189" spans="1:11" ht="12.75">
      <c r="A189" s="45">
        <v>35676.48263888889</v>
      </c>
      <c r="B189" s="83"/>
      <c r="D189" s="83"/>
      <c r="F189" s="83"/>
      <c r="H189" s="83"/>
      <c r="J189" s="38"/>
      <c r="K189" s="27"/>
    </row>
    <row r="190" spans="1:11" ht="12.75">
      <c r="A190" s="45">
        <v>35711.399305555555</v>
      </c>
      <c r="B190" s="83">
        <v>82.95670638780561</v>
      </c>
      <c r="C190">
        <v>5</v>
      </c>
      <c r="D190" s="83">
        <v>97.74812636443626</v>
      </c>
      <c r="E190">
        <v>5</v>
      </c>
      <c r="F190" s="83">
        <v>134.6591555427288</v>
      </c>
      <c r="G190">
        <v>5</v>
      </c>
      <c r="H190" s="83">
        <v>93.87947526918691</v>
      </c>
      <c r="I190">
        <v>5</v>
      </c>
      <c r="J190" s="38"/>
      <c r="K190" s="27"/>
    </row>
    <row r="191" spans="1:11" ht="12.75">
      <c r="A191" s="45">
        <v>35753.43402777778</v>
      </c>
      <c r="B191" s="83"/>
      <c r="D191" s="83"/>
      <c r="F191" s="83"/>
      <c r="H191" s="83"/>
      <c r="J191" s="38"/>
      <c r="K191" s="27"/>
    </row>
    <row r="192" spans="1:11" ht="12.75">
      <c r="A192" s="45">
        <v>35782.572916666664</v>
      </c>
      <c r="B192" s="83"/>
      <c r="D192" s="83"/>
      <c r="F192" s="83"/>
      <c r="H192" s="83"/>
      <c r="J192" s="38"/>
      <c r="K192" s="27"/>
    </row>
    <row r="193" spans="1:11" ht="12.75">
      <c r="A193" s="45"/>
      <c r="C193" s="45"/>
      <c r="E193" s="45"/>
      <c r="G193" s="45"/>
      <c r="J193" s="38"/>
      <c r="K193" s="27"/>
    </row>
    <row r="194" spans="9:11" ht="12.75">
      <c r="I194" s="31"/>
      <c r="J194" s="31"/>
      <c r="K194" s="27"/>
    </row>
    <row r="195" spans="2:11" ht="12.75">
      <c r="B195" s="46" t="s">
        <v>142</v>
      </c>
      <c r="C195" s="47">
        <v>135</v>
      </c>
      <c r="G195" t="s">
        <v>153</v>
      </c>
      <c r="I195" s="31"/>
      <c r="J195" s="31"/>
      <c r="K195" s="27"/>
    </row>
    <row r="196" spans="1:11" ht="15.75">
      <c r="A196" s="51" t="s">
        <v>150</v>
      </c>
      <c r="B196" t="s">
        <v>154</v>
      </c>
      <c r="D196" t="s">
        <v>11</v>
      </c>
      <c r="E196" t="s">
        <v>12</v>
      </c>
      <c r="F196" t="s">
        <v>13</v>
      </c>
      <c r="G196" t="s">
        <v>136</v>
      </c>
      <c r="I196" s="31"/>
      <c r="J196" s="31"/>
      <c r="K196" s="27"/>
    </row>
    <row r="197" spans="2:11" ht="12.75">
      <c r="B197" s="46" t="s">
        <v>144</v>
      </c>
      <c r="C197" s="47">
        <v>17</v>
      </c>
      <c r="G197" t="s">
        <v>153</v>
      </c>
      <c r="I197" s="31"/>
      <c r="J197" s="31"/>
      <c r="K197" s="27"/>
    </row>
    <row r="198" spans="9:11" ht="12.75">
      <c r="I198" s="31"/>
      <c r="J198" s="31"/>
      <c r="K198" s="27"/>
    </row>
    <row r="199" spans="9:11" ht="12.75">
      <c r="I199" s="31"/>
      <c r="J199" s="31"/>
      <c r="K199" s="27"/>
    </row>
    <row r="200" spans="1:11" ht="15.75">
      <c r="A200" s="84" t="s">
        <v>151</v>
      </c>
      <c r="B200" s="85" t="s">
        <v>142</v>
      </c>
      <c r="C200" s="54"/>
      <c r="D200" s="54" t="s">
        <v>182</v>
      </c>
      <c r="E200" s="54"/>
      <c r="G200" s="54"/>
      <c r="H200" s="54"/>
      <c r="I200" s="54"/>
      <c r="J200" s="31"/>
      <c r="K200" s="27"/>
    </row>
    <row r="201" spans="1:11" s="7" customFormat="1" ht="12.75">
      <c r="A201"/>
      <c r="B201" s="117" t="s">
        <v>11</v>
      </c>
      <c r="C201" s="117"/>
      <c r="D201" s="117" t="s">
        <v>12</v>
      </c>
      <c r="E201" s="117"/>
      <c r="F201" s="117" t="s">
        <v>13</v>
      </c>
      <c r="G201" s="117"/>
      <c r="H201" s="117" t="s">
        <v>136</v>
      </c>
      <c r="I201" s="117"/>
      <c r="K201" s="36"/>
    </row>
    <row r="202" spans="1:11" s="48" customFormat="1" ht="12.75">
      <c r="A202"/>
      <c r="B202" s="88" t="s">
        <v>179</v>
      </c>
      <c r="C202" s="87" t="s">
        <v>152</v>
      </c>
      <c r="D202" s="88" t="s">
        <v>179</v>
      </c>
      <c r="E202" s="87" t="s">
        <v>152</v>
      </c>
      <c r="F202" s="88" t="s">
        <v>179</v>
      </c>
      <c r="G202" s="87" t="s">
        <v>152</v>
      </c>
      <c r="H202" s="88" t="s">
        <v>179</v>
      </c>
      <c r="I202" s="87" t="s">
        <v>152</v>
      </c>
      <c r="K202" s="49"/>
    </row>
    <row r="203" spans="1:11" ht="12.75">
      <c r="A203" s="53">
        <v>35471</v>
      </c>
      <c r="B203" s="83"/>
      <c r="C203" s="54"/>
      <c r="D203" s="83"/>
      <c r="E203" s="54"/>
      <c r="F203" s="83"/>
      <c r="G203" s="54"/>
      <c r="H203" s="83"/>
      <c r="I203" s="54"/>
      <c r="K203" s="27"/>
    </row>
    <row r="204" spans="1:11" ht="12.75">
      <c r="A204" s="53">
        <v>35487</v>
      </c>
      <c r="B204" s="83"/>
      <c r="C204" s="54"/>
      <c r="D204" s="83"/>
      <c r="E204" s="54" t="s">
        <v>156</v>
      </c>
      <c r="F204" s="83"/>
      <c r="G204" s="54"/>
      <c r="H204" s="83"/>
      <c r="I204" s="54"/>
      <c r="J204" s="38"/>
      <c r="K204" s="27"/>
    </row>
    <row r="205" spans="1:11" ht="12.75">
      <c r="A205" s="53">
        <v>35501</v>
      </c>
      <c r="B205" s="83">
        <v>4.422666457838931</v>
      </c>
      <c r="C205" s="54">
        <v>2.5</v>
      </c>
      <c r="D205" s="86">
        <v>3.5869245533945278</v>
      </c>
      <c r="E205" s="54">
        <v>2.5</v>
      </c>
      <c r="F205" s="83">
        <v>3.5426546189313743</v>
      </c>
      <c r="G205" s="54">
        <v>2.5</v>
      </c>
      <c r="H205" s="86">
        <v>4.495594424757425</v>
      </c>
      <c r="I205" s="54">
        <v>2.5</v>
      </c>
      <c r="J205" s="38"/>
      <c r="K205" s="27"/>
    </row>
    <row r="206" spans="1:11" ht="12.75">
      <c r="A206" s="53">
        <v>35537</v>
      </c>
      <c r="B206" s="83"/>
      <c r="C206" s="54"/>
      <c r="D206" s="83"/>
      <c r="E206" s="54"/>
      <c r="F206" s="83"/>
      <c r="G206" s="54"/>
      <c r="H206" s="86"/>
      <c r="I206" s="54"/>
      <c r="J206" s="38"/>
      <c r="K206" s="27"/>
    </row>
    <row r="207" spans="1:11" ht="12.75">
      <c r="A207" s="53">
        <v>35577</v>
      </c>
      <c r="B207" s="83">
        <v>4.135967665356274</v>
      </c>
      <c r="C207" s="54">
        <v>2.5</v>
      </c>
      <c r="D207" s="86">
        <v>1.3572360372808119</v>
      </c>
      <c r="E207" s="96">
        <v>2.5</v>
      </c>
      <c r="F207" s="83">
        <v>2.7856626977461443</v>
      </c>
      <c r="G207" s="54">
        <v>2.5</v>
      </c>
      <c r="H207" s="86">
        <v>4.183191599991447</v>
      </c>
      <c r="I207" s="54">
        <v>2.5</v>
      </c>
      <c r="J207" s="38"/>
      <c r="K207" s="27"/>
    </row>
    <row r="208" spans="1:11" ht="12.75">
      <c r="A208" s="53">
        <v>35599</v>
      </c>
      <c r="B208" s="83"/>
      <c r="C208" s="54"/>
      <c r="D208" s="83"/>
      <c r="E208" s="54"/>
      <c r="F208" s="83"/>
      <c r="G208" s="54"/>
      <c r="H208" s="83"/>
      <c r="I208" s="54"/>
      <c r="J208" s="38"/>
      <c r="K208" s="27"/>
    </row>
    <row r="209" spans="1:11" ht="12.75">
      <c r="A209" s="53">
        <v>35620.5</v>
      </c>
      <c r="B209" s="83">
        <v>1.763810194885897</v>
      </c>
      <c r="C209" s="96">
        <v>2.5</v>
      </c>
      <c r="D209" s="86">
        <v>1.6660483350174005</v>
      </c>
      <c r="E209" s="96">
        <v>2.5</v>
      </c>
      <c r="F209" s="83">
        <v>3.367883332936231</v>
      </c>
      <c r="G209" s="54">
        <v>2.5</v>
      </c>
      <c r="H209" s="86">
        <v>1.763810194885897</v>
      </c>
      <c r="I209" s="96">
        <v>2.5</v>
      </c>
      <c r="J209" s="38"/>
      <c r="K209" s="27"/>
    </row>
    <row r="210" spans="1:11" ht="12.75">
      <c r="A210" s="53">
        <v>35654.520833333336</v>
      </c>
      <c r="B210" s="83"/>
      <c r="C210" s="54"/>
      <c r="D210" s="83"/>
      <c r="E210" s="54"/>
      <c r="F210" s="83"/>
      <c r="G210" s="54"/>
      <c r="H210" s="83"/>
      <c r="I210" s="54"/>
      <c r="J210" s="38"/>
      <c r="K210" s="27"/>
    </row>
    <row r="211" spans="1:11" ht="12.75">
      <c r="A211" s="53">
        <v>35676.48263888889</v>
      </c>
      <c r="B211" s="83"/>
      <c r="C211" s="54"/>
      <c r="D211" s="83"/>
      <c r="E211" s="54"/>
      <c r="F211" s="83"/>
      <c r="G211" s="54"/>
      <c r="H211" s="83"/>
      <c r="I211" s="54"/>
      <c r="J211" s="38"/>
      <c r="K211" s="27"/>
    </row>
    <row r="212" spans="1:11" ht="12.75">
      <c r="A212" s="53">
        <v>35711.399305555555</v>
      </c>
      <c r="B212" s="83">
        <v>1.4775803414122959</v>
      </c>
      <c r="C212" s="96">
        <v>2.5</v>
      </c>
      <c r="D212" s="86">
        <v>2.141986907556422</v>
      </c>
      <c r="E212" s="96">
        <v>2.5</v>
      </c>
      <c r="F212" s="83">
        <v>4.422666457838931</v>
      </c>
      <c r="G212" s="54">
        <v>2.5</v>
      </c>
      <c r="H212" s="86">
        <v>1.9549066698099793</v>
      </c>
      <c r="I212" s="96">
        <v>2.5</v>
      </c>
      <c r="J212" s="38"/>
      <c r="K212" s="27"/>
    </row>
    <row r="213" spans="1:11" ht="12.75">
      <c r="A213" s="53">
        <v>35753.43402777778</v>
      </c>
      <c r="B213" s="83"/>
      <c r="C213" s="54"/>
      <c r="D213" s="83"/>
      <c r="E213" s="54"/>
      <c r="F213" s="83"/>
      <c r="G213" s="54"/>
      <c r="H213" s="83"/>
      <c r="I213" s="54"/>
      <c r="J213" s="38"/>
      <c r="K213" s="27"/>
    </row>
    <row r="214" spans="1:11" ht="12.75">
      <c r="A214" s="53">
        <v>35782.572916666664</v>
      </c>
      <c r="B214" s="83"/>
      <c r="C214" s="54"/>
      <c r="D214" s="83"/>
      <c r="E214" s="54"/>
      <c r="F214" s="83"/>
      <c r="G214" s="54"/>
      <c r="H214" s="83"/>
      <c r="I214" s="54"/>
      <c r="J214" s="38"/>
      <c r="K214" s="27"/>
    </row>
    <row r="215" spans="9:11" ht="12.75">
      <c r="I215" s="31"/>
      <c r="J215" s="31"/>
      <c r="K215" s="27"/>
    </row>
    <row r="216" spans="1:11" ht="15.75">
      <c r="A216" s="84" t="s">
        <v>151</v>
      </c>
      <c r="B216" s="85" t="s">
        <v>144</v>
      </c>
      <c r="C216" s="54"/>
      <c r="D216" s="54" t="s">
        <v>181</v>
      </c>
      <c r="F216" s="54"/>
      <c r="G216" s="54"/>
      <c r="H216" s="54"/>
      <c r="I216" s="54"/>
      <c r="J216" s="31"/>
      <c r="K216" s="27"/>
    </row>
    <row r="217" spans="1:11" s="7" customFormat="1" ht="12.75">
      <c r="A217"/>
      <c r="B217" s="117" t="s">
        <v>11</v>
      </c>
      <c r="C217" s="117"/>
      <c r="D217" s="117" t="s">
        <v>12</v>
      </c>
      <c r="E217" s="117"/>
      <c r="F217" s="117" t="s">
        <v>13</v>
      </c>
      <c r="G217" s="117"/>
      <c r="H217" s="117" t="s">
        <v>136</v>
      </c>
      <c r="I217" s="117"/>
      <c r="K217" s="36"/>
    </row>
    <row r="218" spans="1:11" s="48" customFormat="1" ht="12.75">
      <c r="A218"/>
      <c r="B218" s="88" t="s">
        <v>179</v>
      </c>
      <c r="C218" s="87" t="s">
        <v>152</v>
      </c>
      <c r="D218" s="88" t="s">
        <v>179</v>
      </c>
      <c r="E218" s="87" t="s">
        <v>152</v>
      </c>
      <c r="F218" s="88" t="s">
        <v>179</v>
      </c>
      <c r="G218" s="87" t="s">
        <v>152</v>
      </c>
      <c r="H218" s="88" t="s">
        <v>179</v>
      </c>
      <c r="I218" s="87" t="s">
        <v>152</v>
      </c>
      <c r="K218" s="49"/>
    </row>
    <row r="219" spans="1:11" ht="12.75">
      <c r="A219" s="53">
        <v>35471</v>
      </c>
      <c r="C219" s="54"/>
      <c r="D219" s="86"/>
      <c r="E219" s="54"/>
      <c r="F219" s="86"/>
      <c r="G219" s="54"/>
      <c r="H219" s="86"/>
      <c r="I219" s="54"/>
      <c r="K219" s="27"/>
    </row>
    <row r="220" spans="1:11" ht="12.75">
      <c r="A220" s="53">
        <v>35487</v>
      </c>
      <c r="B220" s="54"/>
      <c r="C220" s="54"/>
      <c r="D220" s="86"/>
      <c r="E220" s="54" t="s">
        <v>156</v>
      </c>
      <c r="F220" s="86"/>
      <c r="G220" s="54"/>
      <c r="H220" s="86"/>
      <c r="I220" s="54"/>
      <c r="J220" s="38"/>
      <c r="K220" s="27"/>
    </row>
    <row r="221" spans="1:11" ht="12.75">
      <c r="A221" s="53">
        <v>35501</v>
      </c>
      <c r="B221" s="86">
        <v>0.695407541380922</v>
      </c>
      <c r="C221" s="96">
        <v>2.5</v>
      </c>
      <c r="D221" s="86">
        <v>0.5639978525565296</v>
      </c>
      <c r="E221" s="96">
        <v>2.5</v>
      </c>
      <c r="F221" s="86">
        <v>0.5570369735086532</v>
      </c>
      <c r="G221" s="96">
        <v>2.5</v>
      </c>
      <c r="H221" s="86">
        <v>0.7068745282441999</v>
      </c>
      <c r="I221" s="96">
        <v>2.5</v>
      </c>
      <c r="J221" s="38"/>
      <c r="K221" s="27"/>
    </row>
    <row r="222" spans="1:11" ht="12.75">
      <c r="A222" s="53">
        <v>35537</v>
      </c>
      <c r="B222" s="86"/>
      <c r="C222" s="54"/>
      <c r="D222" s="86"/>
      <c r="E222" s="54"/>
      <c r="F222" s="86"/>
      <c r="G222" s="54"/>
      <c r="H222" s="86"/>
      <c r="I222" s="54"/>
      <c r="J222" s="38"/>
      <c r="K222" s="27"/>
    </row>
    <row r="223" spans="1:11" ht="12.75">
      <c r="A223" s="53">
        <v>35577</v>
      </c>
      <c r="B223" s="86">
        <v>0.6503278356654103</v>
      </c>
      <c r="C223" s="96">
        <v>2.5</v>
      </c>
      <c r="D223" s="86">
        <v>0.2134079485207718</v>
      </c>
      <c r="E223" s="96">
        <v>2.5</v>
      </c>
      <c r="F223" s="86">
        <v>0.43800970889917884</v>
      </c>
      <c r="G223" s="96">
        <v>2.5</v>
      </c>
      <c r="H223" s="86">
        <v>0.6577531933296248</v>
      </c>
      <c r="I223" s="96">
        <v>2.5</v>
      </c>
      <c r="J223" s="38"/>
      <c r="K223" s="27"/>
    </row>
    <row r="224" spans="1:11" ht="12.75">
      <c r="A224" s="53">
        <v>35599</v>
      </c>
      <c r="B224" s="86"/>
      <c r="C224" s="54"/>
      <c r="D224" s="86"/>
      <c r="E224" s="54"/>
      <c r="F224" s="86"/>
      <c r="G224" s="54"/>
      <c r="H224" s="86"/>
      <c r="I224" s="54"/>
      <c r="J224" s="38"/>
      <c r="K224" s="27"/>
    </row>
    <row r="225" spans="1:11" ht="12.75">
      <c r="A225" s="53">
        <v>35620.5</v>
      </c>
      <c r="B225" s="86">
        <v>0.2773365169589456</v>
      </c>
      <c r="C225" s="96">
        <v>2.5</v>
      </c>
      <c r="D225" s="86">
        <v>0.26196471913967323</v>
      </c>
      <c r="E225" s="96">
        <v>2.5</v>
      </c>
      <c r="F225" s="86">
        <v>0.5295564317457884</v>
      </c>
      <c r="G225" s="96">
        <v>2.5</v>
      </c>
      <c r="H225" s="86">
        <v>0.2773365169589456</v>
      </c>
      <c r="I225" s="96">
        <v>2.5</v>
      </c>
      <c r="J225" s="38"/>
      <c r="K225" s="27"/>
    </row>
    <row r="226" spans="1:11" ht="12.75">
      <c r="A226" s="53">
        <v>35654.520833333336</v>
      </c>
      <c r="B226" s="86"/>
      <c r="C226" s="54"/>
      <c r="D226" s="86"/>
      <c r="E226" s="54"/>
      <c r="F226" s="86"/>
      <c r="G226" s="54"/>
      <c r="H226" s="86"/>
      <c r="I226" s="54"/>
      <c r="J226" s="38"/>
      <c r="K226" s="27"/>
    </row>
    <row r="227" spans="1:11" ht="12.75">
      <c r="A227" s="53">
        <v>35676.48263888889</v>
      </c>
      <c r="B227" s="86"/>
      <c r="C227" s="54"/>
      <c r="D227" s="86"/>
      <c r="E227" s="54"/>
      <c r="F227" s="86"/>
      <c r="G227" s="54"/>
      <c r="H227" s="86"/>
      <c r="I227" s="54"/>
      <c r="J227" s="38"/>
      <c r="K227" s="27"/>
    </row>
    <row r="228" spans="1:11" ht="12.75">
      <c r="A228" s="53">
        <v>35711.399305555555</v>
      </c>
      <c r="B228" s="86">
        <v>0.2323305458843917</v>
      </c>
      <c r="C228" s="96">
        <v>2.5</v>
      </c>
      <c r="D228" s="86">
        <v>0.3367999516250619</v>
      </c>
      <c r="E228" s="96">
        <v>2.5</v>
      </c>
      <c r="F228" s="86">
        <v>0.695407541380922</v>
      </c>
      <c r="G228" s="96">
        <v>2.5</v>
      </c>
      <c r="H228" s="86">
        <v>0.30738398516853144</v>
      </c>
      <c r="I228" s="96">
        <v>2.5</v>
      </c>
      <c r="J228" s="38"/>
      <c r="K228" s="27"/>
    </row>
    <row r="229" spans="1:11" ht="12.75">
      <c r="A229" s="53">
        <v>35753.43402777778</v>
      </c>
      <c r="B229" s="54"/>
      <c r="C229" s="54"/>
      <c r="D229" s="86"/>
      <c r="E229" s="54"/>
      <c r="F229" s="86"/>
      <c r="G229" s="54"/>
      <c r="H229" s="86"/>
      <c r="I229" s="54"/>
      <c r="J229" s="38"/>
      <c r="K229" s="27"/>
    </row>
    <row r="230" spans="1:11" ht="12.75">
      <c r="A230" s="53">
        <v>35782.572916666664</v>
      </c>
      <c r="B230" s="54"/>
      <c r="C230" s="54"/>
      <c r="D230" s="86"/>
      <c r="E230" s="54"/>
      <c r="F230" s="86"/>
      <c r="G230" s="54"/>
      <c r="H230" s="86"/>
      <c r="I230" s="54"/>
      <c r="J230" s="38"/>
      <c r="K230" s="27"/>
    </row>
    <row r="231" spans="9:11" ht="12.75">
      <c r="I231" s="31"/>
      <c r="J231" s="31"/>
      <c r="K231" s="27"/>
    </row>
    <row r="232" spans="9:11" ht="12.75">
      <c r="I232" s="31"/>
      <c r="J232" s="31"/>
      <c r="K232" s="27"/>
    </row>
    <row r="233" spans="1:11" ht="15.75">
      <c r="A233" s="51" t="s">
        <v>155</v>
      </c>
      <c r="B233" s="46" t="s">
        <v>142</v>
      </c>
      <c r="D233" t="s">
        <v>192</v>
      </c>
      <c r="J233" s="31"/>
      <c r="K233" s="27"/>
    </row>
    <row r="234" spans="1:11" s="7" customFormat="1" ht="12.75">
      <c r="A234"/>
      <c r="B234" s="116" t="s">
        <v>11</v>
      </c>
      <c r="C234" s="116"/>
      <c r="D234" s="116" t="s">
        <v>12</v>
      </c>
      <c r="E234" s="116"/>
      <c r="F234" s="116" t="s">
        <v>13</v>
      </c>
      <c r="G234" s="116"/>
      <c r="H234" s="116" t="s">
        <v>136</v>
      </c>
      <c r="I234" s="116"/>
      <c r="K234" s="36"/>
    </row>
    <row r="235" spans="1:11" s="48" customFormat="1" ht="12.75">
      <c r="A235"/>
      <c r="B235" s="68" t="s">
        <v>179</v>
      </c>
      <c r="C235" s="67" t="s">
        <v>152</v>
      </c>
      <c r="D235" s="68" t="s">
        <v>179</v>
      </c>
      <c r="E235" s="67" t="s">
        <v>152</v>
      </c>
      <c r="F235" s="68" t="s">
        <v>179</v>
      </c>
      <c r="G235" s="67" t="s">
        <v>152</v>
      </c>
      <c r="H235" s="68" t="s">
        <v>179</v>
      </c>
      <c r="I235" s="67" t="s">
        <v>152</v>
      </c>
      <c r="K235" s="49"/>
    </row>
    <row r="236" spans="1:11" ht="12.75">
      <c r="A236" s="45">
        <v>35471</v>
      </c>
      <c r="B236" s="83"/>
      <c r="D236" s="83"/>
      <c r="F236" s="83"/>
      <c r="H236" s="83"/>
      <c r="I236" s="15"/>
      <c r="K236" s="27"/>
    </row>
    <row r="237" spans="1:11" ht="12.75">
      <c r="A237" s="45">
        <v>35487</v>
      </c>
      <c r="B237" s="83"/>
      <c r="D237" s="83"/>
      <c r="E237" t="s">
        <v>156</v>
      </c>
      <c r="F237" s="83"/>
      <c r="H237" s="83"/>
      <c r="I237" s="15"/>
      <c r="J237" s="38"/>
      <c r="K237" s="27"/>
    </row>
    <row r="238" spans="1:11" ht="12.75">
      <c r="A238" s="45">
        <v>35501</v>
      </c>
      <c r="B238" s="83">
        <v>30.684482502776547</v>
      </c>
      <c r="C238">
        <v>10</v>
      </c>
      <c r="D238" s="83">
        <v>27.67639167089616</v>
      </c>
      <c r="E238">
        <v>5</v>
      </c>
      <c r="F238" s="83">
        <v>27.507592223773276</v>
      </c>
      <c r="G238">
        <v>5</v>
      </c>
      <c r="H238" s="83">
        <v>29.27095229782673</v>
      </c>
      <c r="I238" s="15">
        <v>5</v>
      </c>
      <c r="J238" s="38"/>
      <c r="K238" s="27"/>
    </row>
    <row r="239" spans="1:11" ht="12.75">
      <c r="A239" s="45">
        <v>35537</v>
      </c>
      <c r="B239" s="83"/>
      <c r="D239" s="83"/>
      <c r="F239" s="83"/>
      <c r="H239" s="83"/>
      <c r="I239" s="15"/>
      <c r="J239" s="38"/>
      <c r="K239" s="27"/>
    </row>
    <row r="240" spans="1:11" ht="12.75">
      <c r="A240" s="45">
        <v>35577</v>
      </c>
      <c r="B240" s="83">
        <v>29.687948995317296</v>
      </c>
      <c r="C240">
        <v>20</v>
      </c>
      <c r="D240" s="83">
        <v>17.147170342549384</v>
      </c>
      <c r="E240">
        <v>10</v>
      </c>
      <c r="F240" s="83">
        <v>24.435616330241068</v>
      </c>
      <c r="G240">
        <v>2.5</v>
      </c>
      <c r="H240" s="83">
        <v>29.854451727336734</v>
      </c>
      <c r="I240" s="15">
        <f>0.00625*1000</f>
        <v>6.25</v>
      </c>
      <c r="J240" s="38"/>
      <c r="K240" s="27"/>
    </row>
    <row r="241" spans="1:11" ht="12.75">
      <c r="A241" s="45">
        <v>35599</v>
      </c>
      <c r="B241" s="83"/>
      <c r="D241" s="83"/>
      <c r="F241" s="83"/>
      <c r="H241" s="83"/>
      <c r="I241" s="31"/>
      <c r="J241" s="38"/>
      <c r="K241" s="27"/>
    </row>
    <row r="242" spans="1:11" ht="12.75">
      <c r="A242" s="45">
        <v>35620.5</v>
      </c>
      <c r="B242" s="83">
        <v>19.509693826092764</v>
      </c>
      <c r="C242">
        <v>10</v>
      </c>
      <c r="D242" s="83">
        <v>18.969294559168453</v>
      </c>
      <c r="E242">
        <v>10</v>
      </c>
      <c r="F242" s="83">
        <v>26.83050972281511</v>
      </c>
      <c r="G242">
        <v>10</v>
      </c>
      <c r="H242" s="83">
        <v>19.509693826092764</v>
      </c>
      <c r="I242" s="15">
        <f>0.01667*1000</f>
        <v>16.67</v>
      </c>
      <c r="J242" s="38"/>
      <c r="K242" s="27"/>
    </row>
    <row r="243" spans="1:11" ht="12.75">
      <c r="A243" s="45">
        <v>35654.520833333336</v>
      </c>
      <c r="B243" s="83"/>
      <c r="D243" s="83"/>
      <c r="F243" s="83"/>
      <c r="H243" s="83"/>
      <c r="I243" s="15"/>
      <c r="J243" s="38"/>
      <c r="K243" s="27"/>
    </row>
    <row r="244" spans="1:11" ht="12.75">
      <c r="A244" s="45">
        <v>35676.48263888889</v>
      </c>
      <c r="B244" s="83"/>
      <c r="D244" s="83"/>
      <c r="F244" s="83"/>
      <c r="H244" s="83"/>
      <c r="I244" s="15"/>
      <c r="J244" s="38"/>
      <c r="K244" s="27"/>
    </row>
    <row r="245" spans="1:11" ht="12.75">
      <c r="A245" s="45">
        <v>35711.399305555555</v>
      </c>
      <c r="B245" s="83">
        <v>17.880015685070415</v>
      </c>
      <c r="C245">
        <v>10</v>
      </c>
      <c r="D245" s="83">
        <v>21.46891063632243</v>
      </c>
      <c r="E245">
        <v>20</v>
      </c>
      <c r="F245" s="83">
        <v>30.684482502776547</v>
      </c>
      <c r="G245">
        <v>20</v>
      </c>
      <c r="H245" s="83">
        <v>20.52379566298994</v>
      </c>
      <c r="I245" s="15">
        <f>0.00833*1000</f>
        <v>8.33</v>
      </c>
      <c r="J245" s="38"/>
      <c r="K245" s="27"/>
    </row>
    <row r="246" spans="1:11" ht="12.75">
      <c r="A246" s="45">
        <v>35753.43402777778</v>
      </c>
      <c r="B246" s="83"/>
      <c r="D246" s="83"/>
      <c r="F246" s="83"/>
      <c r="H246" s="83"/>
      <c r="I246" s="15"/>
      <c r="J246" s="38"/>
      <c r="K246" s="27"/>
    </row>
    <row r="247" spans="1:11" ht="12.75">
      <c r="A247" s="45">
        <v>35782.572916666664</v>
      </c>
      <c r="B247" s="83"/>
      <c r="D247" s="83"/>
      <c r="F247" s="83"/>
      <c r="H247" s="83"/>
      <c r="I247" s="15"/>
      <c r="J247" s="38"/>
      <c r="K247" s="27"/>
    </row>
    <row r="248" spans="9:11" ht="12.75">
      <c r="I248" s="31"/>
      <c r="J248" s="31"/>
      <c r="K248" s="27"/>
    </row>
    <row r="249" spans="1:11" ht="15.75">
      <c r="A249" s="51" t="s">
        <v>155</v>
      </c>
      <c r="B249" s="46" t="s">
        <v>144</v>
      </c>
      <c r="D249" t="s">
        <v>180</v>
      </c>
      <c r="J249" s="31"/>
      <c r="K249" s="27"/>
    </row>
    <row r="250" spans="1:11" s="7" customFormat="1" ht="12.75">
      <c r="A250"/>
      <c r="B250" s="116" t="s">
        <v>11</v>
      </c>
      <c r="C250" s="116"/>
      <c r="D250" s="116" t="s">
        <v>12</v>
      </c>
      <c r="E250" s="116"/>
      <c r="F250" s="116" t="s">
        <v>13</v>
      </c>
      <c r="G250" s="116"/>
      <c r="H250" s="116" t="s">
        <v>136</v>
      </c>
      <c r="I250" s="116"/>
      <c r="J250" s="39"/>
      <c r="K250" s="36"/>
    </row>
    <row r="251" spans="1:11" s="50" customFormat="1" ht="12.75">
      <c r="A251"/>
      <c r="B251" s="68" t="s">
        <v>179</v>
      </c>
      <c r="C251" s="67" t="s">
        <v>152</v>
      </c>
      <c r="D251" s="68" t="s">
        <v>179</v>
      </c>
      <c r="E251" s="67" t="s">
        <v>152</v>
      </c>
      <c r="F251" s="68" t="s">
        <v>179</v>
      </c>
      <c r="G251" s="67" t="s">
        <v>152</v>
      </c>
      <c r="H251" s="68" t="s">
        <v>179</v>
      </c>
      <c r="I251" s="67" t="s">
        <v>152</v>
      </c>
      <c r="J251" s="40"/>
      <c r="K251" s="49"/>
    </row>
    <row r="252" spans="1:11" ht="12.75">
      <c r="A252" s="45">
        <v>35471</v>
      </c>
      <c r="B252" s="83"/>
      <c r="D252" s="83"/>
      <c r="F252" s="83"/>
      <c r="H252" s="83"/>
      <c r="I252" s="15"/>
      <c r="J252" s="38"/>
      <c r="K252" s="27"/>
    </row>
    <row r="253" spans="1:11" ht="12.75">
      <c r="A253" s="45">
        <v>35487</v>
      </c>
      <c r="B253" s="83"/>
      <c r="D253" s="83"/>
      <c r="E253" t="s">
        <v>156</v>
      </c>
      <c r="F253" s="83"/>
      <c r="H253" s="83"/>
      <c r="I253" s="15"/>
      <c r="J253" s="38"/>
      <c r="K253" s="27"/>
    </row>
    <row r="254" spans="1:11" ht="12.75">
      <c r="A254" s="45">
        <v>35501</v>
      </c>
      <c r="B254" s="83">
        <v>155.33080536822538</v>
      </c>
      <c r="C254">
        <v>10</v>
      </c>
      <c r="D254" s="83">
        <v>140.10326579689723</v>
      </c>
      <c r="E254">
        <v>5</v>
      </c>
      <c r="F254" s="83">
        <v>139.24877023664342</v>
      </c>
      <c r="G254">
        <v>5</v>
      </c>
      <c r="H254" s="83">
        <v>148.5</v>
      </c>
      <c r="I254" s="15">
        <f>0.005*1000</f>
        <v>5</v>
      </c>
      <c r="J254" s="38"/>
      <c r="K254" s="27"/>
    </row>
    <row r="255" spans="1:11" ht="12.75">
      <c r="A255" s="45">
        <v>35537</v>
      </c>
      <c r="B255" s="83"/>
      <c r="D255" s="83"/>
      <c r="F255" s="83"/>
      <c r="H255" s="83"/>
      <c r="I255" s="15"/>
      <c r="J255" s="38"/>
      <c r="K255" s="27"/>
    </row>
    <row r="256" spans="1:11" ht="12.75">
      <c r="A256" s="45">
        <v>35577</v>
      </c>
      <c r="B256" s="83">
        <v>150.28615935615522</v>
      </c>
      <c r="C256">
        <v>20</v>
      </c>
      <c r="D256" s="83">
        <v>86.80230402625601</v>
      </c>
      <c r="E256">
        <v>10</v>
      </c>
      <c r="F256" s="83">
        <v>123.6978320850564</v>
      </c>
      <c r="G256">
        <v>25</v>
      </c>
      <c r="H256" s="83">
        <v>152</v>
      </c>
      <c r="I256" s="15">
        <f>0.00625*1000</f>
        <v>6.25</v>
      </c>
      <c r="J256" s="38"/>
      <c r="K256" s="27"/>
    </row>
    <row r="257" spans="1:11" ht="12.75">
      <c r="A257" s="45">
        <v>35599</v>
      </c>
      <c r="B257" s="83"/>
      <c r="D257" s="83"/>
      <c r="F257" s="83"/>
      <c r="H257" s="83"/>
      <c r="I257" s="31"/>
      <c r="J257" s="38"/>
      <c r="K257" s="27"/>
    </row>
    <row r="258" spans="1:11" ht="12.75">
      <c r="A258" s="45">
        <v>35620.5</v>
      </c>
      <c r="B258" s="83">
        <v>98.76185639501216</v>
      </c>
      <c r="C258">
        <v>10</v>
      </c>
      <c r="D258" s="83">
        <v>96.02625043052659</v>
      </c>
      <c r="E258">
        <v>10</v>
      </c>
      <c r="F258" s="83">
        <v>135.82124721535578</v>
      </c>
      <c r="G258">
        <v>10</v>
      </c>
      <c r="H258" s="83">
        <v>92</v>
      </c>
      <c r="I258" s="15">
        <f>0.01667*1000</f>
        <v>16.67</v>
      </c>
      <c r="J258" s="38"/>
      <c r="K258" s="27"/>
    </row>
    <row r="259" spans="1:11" ht="12.75">
      <c r="A259" s="45">
        <v>35654.520833333336</v>
      </c>
      <c r="B259" s="83"/>
      <c r="D259" s="83"/>
      <c r="F259" s="83"/>
      <c r="H259" s="83"/>
      <c r="I259" s="15"/>
      <c r="J259" s="38"/>
      <c r="K259" s="27"/>
    </row>
    <row r="260" spans="1:11" ht="12.75">
      <c r="A260" s="45">
        <v>35676.48263888889</v>
      </c>
      <c r="B260" s="83"/>
      <c r="D260" s="83"/>
      <c r="F260" s="83"/>
      <c r="H260" s="83"/>
      <c r="I260" s="15"/>
      <c r="J260" s="38"/>
      <c r="K260" s="27"/>
    </row>
    <row r="261" spans="1:11" ht="12.75">
      <c r="A261" s="45">
        <v>35711.399305555555</v>
      </c>
      <c r="B261" s="83">
        <v>90.51210937343252</v>
      </c>
      <c r="C261">
        <v>10</v>
      </c>
      <c r="D261" s="83">
        <v>108.67979211370661</v>
      </c>
      <c r="E261">
        <v>20</v>
      </c>
      <c r="F261" s="83">
        <v>155.33080536822538</v>
      </c>
      <c r="G261">
        <v>20</v>
      </c>
      <c r="H261" s="83">
        <v>97.67</v>
      </c>
      <c r="I261" s="15">
        <f>0.00833*1000</f>
        <v>8.33</v>
      </c>
      <c r="J261" s="38"/>
      <c r="K261" s="27"/>
    </row>
    <row r="262" spans="1:11" ht="12.75">
      <c r="A262" s="45">
        <v>35753.43402777778</v>
      </c>
      <c r="B262" s="83"/>
      <c r="D262" s="83"/>
      <c r="F262" s="83"/>
      <c r="H262" s="83"/>
      <c r="I262" s="15"/>
      <c r="J262" s="38"/>
      <c r="K262" s="27"/>
    </row>
    <row r="263" spans="1:11" ht="12.75">
      <c r="A263" s="45">
        <v>35782.572916666664</v>
      </c>
      <c r="B263" s="83"/>
      <c r="D263" s="83"/>
      <c r="F263" s="83"/>
      <c r="H263" s="83"/>
      <c r="I263" s="15"/>
      <c r="J263" s="38"/>
      <c r="K263" s="27"/>
    </row>
    <row r="264" spans="1:11" ht="12.75">
      <c r="A264" s="31"/>
      <c r="B264" s="31"/>
      <c r="C264" s="31"/>
      <c r="D264" s="41"/>
      <c r="E264" s="41"/>
      <c r="F264" s="31"/>
      <c r="G264" s="31"/>
      <c r="H264" s="31"/>
      <c r="I264" s="31"/>
      <c r="J264" s="31"/>
      <c r="K264" s="27"/>
    </row>
    <row r="265" spans="1:11" ht="12.75">
      <c r="A265" s="31"/>
      <c r="B265" s="31"/>
      <c r="C265" s="31"/>
      <c r="D265" s="41"/>
      <c r="E265" s="41"/>
      <c r="F265" s="31"/>
      <c r="G265" s="31"/>
      <c r="H265" s="31"/>
      <c r="I265" s="31"/>
      <c r="J265" s="31"/>
      <c r="K265" s="27"/>
    </row>
    <row r="266" spans="1:11" ht="12.75">
      <c r="A266" s="31"/>
      <c r="B266" s="31"/>
      <c r="C266" s="31"/>
      <c r="D266" s="41"/>
      <c r="E266" s="41"/>
      <c r="F266" s="31"/>
      <c r="G266" s="31"/>
      <c r="H266" s="31"/>
      <c r="I266" s="31"/>
      <c r="J266" s="31"/>
      <c r="K266" s="27"/>
    </row>
    <row r="267" spans="1:11" ht="12.75">
      <c r="A267" s="31"/>
      <c r="B267" s="31"/>
      <c r="C267" s="31"/>
      <c r="D267" s="41"/>
      <c r="E267" s="15"/>
      <c r="F267" s="31"/>
      <c r="G267" s="31"/>
      <c r="H267" s="31"/>
      <c r="I267" s="31"/>
      <c r="J267" s="31"/>
      <c r="K267" s="27"/>
    </row>
    <row r="268" spans="1:11" ht="12.75">
      <c r="A268" s="31"/>
      <c r="B268" s="31"/>
      <c r="C268" s="31"/>
      <c r="D268" s="41"/>
      <c r="E268" s="15"/>
      <c r="F268" s="31"/>
      <c r="G268" s="31"/>
      <c r="H268" s="31"/>
      <c r="I268" s="31"/>
      <c r="J268" s="31"/>
      <c r="K268" s="27"/>
    </row>
    <row r="269" spans="1:11" ht="12.75">
      <c r="A269" s="31"/>
      <c r="B269" s="31"/>
      <c r="C269" s="31"/>
      <c r="D269" s="15"/>
      <c r="E269" s="15"/>
      <c r="F269" s="31"/>
      <c r="G269" s="31"/>
      <c r="H269" s="31"/>
      <c r="I269" s="31"/>
      <c r="J269" s="31"/>
      <c r="K269" s="27"/>
    </row>
    <row r="270" spans="1:11" ht="12.75">
      <c r="A270" s="31"/>
      <c r="B270" s="31"/>
      <c r="C270" s="31"/>
      <c r="D270" s="15"/>
      <c r="E270" s="15"/>
      <c r="F270" s="31"/>
      <c r="G270" s="31"/>
      <c r="H270" s="31"/>
      <c r="I270" s="31"/>
      <c r="J270" s="31"/>
      <c r="K270" s="27"/>
    </row>
    <row r="271" spans="1:11" ht="12.75">
      <c r="A271" s="31"/>
      <c r="B271" s="31"/>
      <c r="C271" s="31"/>
      <c r="D271" s="15"/>
      <c r="E271" s="15"/>
      <c r="F271" s="31"/>
      <c r="G271" s="31"/>
      <c r="H271" s="31"/>
      <c r="I271" s="31"/>
      <c r="J271" s="31"/>
      <c r="K271" s="27"/>
    </row>
    <row r="272" spans="1:11" ht="12.75">
      <c r="A272" s="31"/>
      <c r="B272" s="31"/>
      <c r="C272" s="31"/>
      <c r="D272" s="24"/>
      <c r="E272" s="15"/>
      <c r="F272" s="31"/>
      <c r="G272" s="31"/>
      <c r="H272" s="31"/>
      <c r="I272" s="31"/>
      <c r="J272" s="31"/>
      <c r="K272" s="27"/>
    </row>
    <row r="273" spans="1:11" ht="12.75">
      <c r="A273" s="31"/>
      <c r="B273" s="31"/>
      <c r="C273" s="31"/>
      <c r="D273" s="24"/>
      <c r="E273" s="15"/>
      <c r="F273" s="31"/>
      <c r="G273" s="31"/>
      <c r="H273" s="31"/>
      <c r="I273" s="31"/>
      <c r="J273" s="31"/>
      <c r="K273" s="27"/>
    </row>
    <row r="274" spans="1:11" ht="12.75">
      <c r="A274" s="31"/>
      <c r="B274" s="31"/>
      <c r="C274" s="31"/>
      <c r="D274" s="24"/>
      <c r="E274" s="15"/>
      <c r="F274" s="31"/>
      <c r="G274" s="31"/>
      <c r="H274" s="31"/>
      <c r="I274" s="31"/>
      <c r="J274" s="31"/>
      <c r="K274" s="27"/>
    </row>
    <row r="275" spans="1:11" ht="12.75">
      <c r="A275" s="31"/>
      <c r="B275" s="31"/>
      <c r="C275" s="31"/>
      <c r="D275" s="26"/>
      <c r="E275" s="15"/>
      <c r="F275" s="31"/>
      <c r="G275" s="31"/>
      <c r="H275" s="31"/>
      <c r="I275" s="31"/>
      <c r="J275" s="31"/>
      <c r="K275" s="27"/>
    </row>
    <row r="276" spans="1:11" ht="12.75">
      <c r="A276" s="31"/>
      <c r="B276" s="31"/>
      <c r="C276" s="31"/>
      <c r="D276" s="20"/>
      <c r="E276" s="15"/>
      <c r="F276" s="31"/>
      <c r="G276" s="31"/>
      <c r="H276" s="31"/>
      <c r="I276" s="31"/>
      <c r="J276" s="31"/>
      <c r="K276" s="27"/>
    </row>
    <row r="277" spans="1:11" ht="12.75">
      <c r="A277" s="31"/>
      <c r="B277" s="31"/>
      <c r="C277" s="31"/>
      <c r="D277" s="20"/>
      <c r="E277" s="31"/>
      <c r="F277" s="31"/>
      <c r="G277" s="31"/>
      <c r="H277" s="31"/>
      <c r="I277" s="31"/>
      <c r="J277" s="31"/>
      <c r="K277" s="27"/>
    </row>
    <row r="278" spans="1:11" ht="12.75">
      <c r="A278" s="31"/>
      <c r="B278" s="31"/>
      <c r="C278" s="31"/>
      <c r="D278" s="20"/>
      <c r="E278" s="15"/>
      <c r="F278" s="31"/>
      <c r="G278" s="31"/>
      <c r="H278" s="31"/>
      <c r="I278" s="31"/>
      <c r="J278" s="31"/>
      <c r="K278" s="27"/>
    </row>
    <row r="279" spans="1:11" ht="12.75">
      <c r="A279" s="31"/>
      <c r="B279" s="31"/>
      <c r="C279" s="31"/>
      <c r="D279" s="20"/>
      <c r="E279" s="15"/>
      <c r="F279" s="31"/>
      <c r="G279" s="31"/>
      <c r="H279" s="31"/>
      <c r="I279" s="31"/>
      <c r="J279" s="31"/>
      <c r="K279" s="27"/>
    </row>
    <row r="280" spans="1:11" ht="12.75">
      <c r="A280" s="31"/>
      <c r="B280" s="31"/>
      <c r="C280" s="31"/>
      <c r="D280" s="20"/>
      <c r="E280" s="15"/>
      <c r="F280" s="31"/>
      <c r="G280" s="31"/>
      <c r="H280" s="31"/>
      <c r="I280" s="31"/>
      <c r="J280" s="31"/>
      <c r="K280" s="27"/>
    </row>
    <row r="281" spans="1:10" ht="12.75">
      <c r="A281" s="30"/>
      <c r="B281" s="30"/>
      <c r="C281" s="30"/>
      <c r="D281" s="20"/>
      <c r="E281" s="15"/>
      <c r="F281" s="30"/>
      <c r="G281" s="30"/>
      <c r="H281" s="30"/>
      <c r="I281" s="30"/>
      <c r="J281" s="30"/>
    </row>
    <row r="282" spans="1:10" ht="12.75">
      <c r="A282" s="30"/>
      <c r="B282" s="30"/>
      <c r="C282" s="30"/>
      <c r="D282" s="20"/>
      <c r="E282" s="15"/>
      <c r="F282" s="30"/>
      <c r="G282" s="30"/>
      <c r="H282" s="30"/>
      <c r="I282" s="30"/>
      <c r="J282" s="30"/>
    </row>
    <row r="283" spans="1:10" ht="12.75">
      <c r="A283" s="30"/>
      <c r="B283" s="30"/>
      <c r="C283" s="30"/>
      <c r="D283" s="20"/>
      <c r="E283" s="15"/>
      <c r="F283" s="30"/>
      <c r="G283" s="30"/>
      <c r="H283" s="30"/>
      <c r="I283" s="30"/>
      <c r="J283" s="30"/>
    </row>
    <row r="284" spans="1:10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</row>
    <row r="285" spans="1:10" ht="12.75">
      <c r="A285" s="30"/>
      <c r="B285" s="30"/>
      <c r="C285" s="30"/>
      <c r="F285" s="30"/>
      <c r="G285" s="30"/>
      <c r="H285" s="30"/>
      <c r="I285" s="30"/>
      <c r="J285" s="30"/>
    </row>
    <row r="286" spans="1:10" ht="12.75">
      <c r="A286" s="30"/>
      <c r="B286" s="30"/>
      <c r="C286" s="30"/>
      <c r="F286" s="30"/>
      <c r="G286" s="30"/>
      <c r="H286" s="30"/>
      <c r="I286" s="30"/>
      <c r="J286" s="30"/>
    </row>
    <row r="287" spans="1:10" ht="12.75">
      <c r="A287" s="30"/>
      <c r="B287" s="30"/>
      <c r="C287" s="30"/>
      <c r="F287" s="30"/>
      <c r="G287" s="30"/>
      <c r="H287" s="30"/>
      <c r="I287" s="30"/>
      <c r="J287" s="30"/>
    </row>
    <row r="288" spans="1:10" ht="12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</row>
    <row r="289" spans="1:10" ht="12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</row>
    <row r="290" spans="1:10" ht="12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</row>
    <row r="291" spans="1:10" ht="12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</row>
    <row r="292" spans="1:10" ht="12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</row>
    <row r="293" spans="1:10" ht="12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</row>
    <row r="294" spans="1:10" ht="12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</row>
    <row r="295" spans="1:10" ht="12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</row>
    <row r="296" spans="1:10" ht="12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</row>
    <row r="297" spans="1:10" ht="12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</row>
    <row r="298" spans="1:10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</row>
    <row r="299" spans="1:10" ht="12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</row>
    <row r="300" spans="1:10" ht="12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</row>
    <row r="301" spans="1:10" ht="12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</row>
    <row r="302" spans="1:10" ht="12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</row>
    <row r="303" spans="1:10" ht="12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</row>
    <row r="304" spans="1:10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</row>
    <row r="305" spans="1:10" ht="12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</row>
    <row r="306" spans="1:10" ht="12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</row>
    <row r="307" spans="1:10" ht="12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</row>
    <row r="308" spans="1:10" ht="12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</row>
    <row r="309" spans="1:10" ht="12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</row>
    <row r="310" spans="4:5" ht="12.75">
      <c r="D310" s="30"/>
      <c r="E310" s="30"/>
    </row>
    <row r="311" spans="4:5" ht="12.75">
      <c r="D311" s="30"/>
      <c r="E311" s="30"/>
    </row>
    <row r="312" spans="4:5" ht="12.75">
      <c r="D312" s="30"/>
      <c r="E312" s="30"/>
    </row>
    <row r="313" spans="4:5" ht="12.75">
      <c r="D313" s="30"/>
      <c r="E313" s="30"/>
    </row>
    <row r="314" spans="4:5" ht="12.75">
      <c r="D314" s="30"/>
      <c r="E314" s="30"/>
    </row>
    <row r="315" spans="4:5" ht="12.75">
      <c r="D315" s="30"/>
      <c r="E315" s="30"/>
    </row>
    <row r="316" spans="4:5" ht="12.75">
      <c r="D316" s="20"/>
      <c r="E316" s="15"/>
    </row>
    <row r="317" spans="4:5" ht="12.75">
      <c r="D317" s="30"/>
      <c r="E317" s="30"/>
    </row>
    <row r="318" spans="4:5" ht="12.75">
      <c r="D318" s="30"/>
      <c r="E318" s="30"/>
    </row>
    <row r="319" spans="4:5" ht="12.75">
      <c r="D319" s="30"/>
      <c r="E319" s="30"/>
    </row>
    <row r="320" spans="4:5" ht="12.75">
      <c r="D320" s="30"/>
      <c r="E320" s="30"/>
    </row>
    <row r="321" spans="4:5" ht="12.75">
      <c r="D321" s="20"/>
      <c r="E321" s="15"/>
    </row>
    <row r="322" spans="4:5" ht="12.75">
      <c r="D322" s="20"/>
      <c r="E322" s="15"/>
    </row>
    <row r="323" spans="4:5" ht="12.75">
      <c r="D323" s="20"/>
      <c r="E323" s="15"/>
    </row>
    <row r="324" spans="4:5" ht="12.75">
      <c r="D324" s="30"/>
      <c r="E324" s="15"/>
    </row>
    <row r="325" spans="4:5" ht="12.75">
      <c r="D325" s="30"/>
      <c r="E325" s="15"/>
    </row>
    <row r="326" spans="4:5" ht="12.75">
      <c r="D326" s="20"/>
      <c r="E326" s="15"/>
    </row>
    <row r="327" spans="4:5" ht="12.75">
      <c r="D327" s="20"/>
      <c r="E327" s="15"/>
    </row>
    <row r="328" spans="4:5" ht="12.75">
      <c r="D328" s="30"/>
      <c r="E328" s="30"/>
    </row>
    <row r="329" spans="4:5" ht="12.75">
      <c r="D329" s="30"/>
      <c r="E329" s="30"/>
    </row>
    <row r="330" spans="4:5" ht="12.75">
      <c r="D330" s="30"/>
      <c r="E330" s="30"/>
    </row>
    <row r="331" spans="4:5" ht="12.75">
      <c r="D331" s="30"/>
      <c r="E331" s="30"/>
    </row>
    <row r="332" spans="4:5" ht="12.75">
      <c r="D332" s="30"/>
      <c r="E332" s="30"/>
    </row>
    <row r="333" spans="4:5" ht="12.75">
      <c r="D333" s="30"/>
      <c r="E333" s="30"/>
    </row>
    <row r="334" spans="4:5" ht="12.75">
      <c r="D334" s="30"/>
      <c r="E334" s="30"/>
    </row>
    <row r="335" spans="4:5" ht="12.75">
      <c r="D335" s="30"/>
      <c r="E335" s="30"/>
    </row>
    <row r="336" spans="4:5" ht="12.75">
      <c r="D336" s="30"/>
      <c r="E336" s="30"/>
    </row>
    <row r="337" spans="4:5" ht="12.75">
      <c r="D337" s="30"/>
      <c r="E337" s="30"/>
    </row>
    <row r="338" spans="4:5" ht="12.75">
      <c r="D338" s="30"/>
      <c r="E338" s="30"/>
    </row>
    <row r="339" spans="4:5" ht="12.75">
      <c r="D339" s="30"/>
      <c r="E339" s="30"/>
    </row>
    <row r="340" spans="4:5" ht="12.75">
      <c r="D340" s="30"/>
      <c r="E340" s="30"/>
    </row>
    <row r="341" spans="4:5" ht="12.75">
      <c r="D341" s="30"/>
      <c r="E341" s="30"/>
    </row>
    <row r="342" spans="4:5" ht="12.75">
      <c r="D342" s="30"/>
      <c r="E342" s="30"/>
    </row>
    <row r="343" spans="4:5" ht="12.75">
      <c r="D343" s="30"/>
      <c r="E343" s="30"/>
    </row>
    <row r="344" spans="4:5" ht="12.75">
      <c r="D344" s="30"/>
      <c r="E344" s="30"/>
    </row>
    <row r="345" spans="4:5" ht="12.75">
      <c r="D345" s="30"/>
      <c r="E345" s="30"/>
    </row>
    <row r="346" spans="4:5" ht="12.75">
      <c r="D346" s="30"/>
      <c r="E346" s="30"/>
    </row>
    <row r="347" spans="4:5" ht="12.75">
      <c r="D347" s="30"/>
      <c r="E347" s="30"/>
    </row>
    <row r="348" spans="4:5" ht="12.75">
      <c r="D348" s="30"/>
      <c r="E348" s="30"/>
    </row>
    <row r="349" spans="4:5" ht="12.75">
      <c r="D349" s="30"/>
      <c r="E349" s="30"/>
    </row>
    <row r="350" spans="4:5" ht="12.75">
      <c r="D350" s="30"/>
      <c r="E350" s="30"/>
    </row>
    <row r="351" spans="4:5" ht="12.75">
      <c r="D351" s="30"/>
      <c r="E351" s="30"/>
    </row>
    <row r="352" spans="4:5" ht="12.75">
      <c r="D352" s="30"/>
      <c r="E352" s="30"/>
    </row>
    <row r="353" spans="4:5" ht="12.75">
      <c r="D353" s="30"/>
      <c r="E353" s="30"/>
    </row>
    <row r="354" spans="4:5" ht="12.75">
      <c r="D354" s="30"/>
      <c r="E354" s="30"/>
    </row>
    <row r="355" spans="4:5" ht="12.75">
      <c r="D355" s="30"/>
      <c r="E355" s="30"/>
    </row>
    <row r="356" spans="4:5" ht="12.75">
      <c r="D356" s="30"/>
      <c r="E356" s="30"/>
    </row>
    <row r="357" spans="4:5" ht="12.75">
      <c r="D357" s="30"/>
      <c r="E357" s="30"/>
    </row>
    <row r="358" spans="4:5" ht="12.75">
      <c r="D358" s="30"/>
      <c r="E358" s="30"/>
    </row>
    <row r="359" spans="4:5" ht="12.75">
      <c r="D359" s="30"/>
      <c r="E359" s="30"/>
    </row>
    <row r="360" spans="4:5" ht="12.75">
      <c r="D360" s="30"/>
      <c r="E360" s="30"/>
    </row>
    <row r="361" spans="4:5" ht="12.75">
      <c r="D361" s="30"/>
      <c r="E361" s="30"/>
    </row>
    <row r="362" spans="4:5" ht="12.75">
      <c r="D362" s="30"/>
      <c r="E362" s="30"/>
    </row>
    <row r="363" spans="4:5" ht="12.75">
      <c r="D363" s="30"/>
      <c r="E363" s="30"/>
    </row>
    <row r="364" spans="4:5" ht="12.75">
      <c r="D364" s="30"/>
      <c r="E364" s="30"/>
    </row>
    <row r="365" spans="4:5" ht="12.75">
      <c r="D365" s="30"/>
      <c r="E365" s="30"/>
    </row>
    <row r="366" spans="4:5" ht="12.75">
      <c r="D366" s="30"/>
      <c r="E366" s="30"/>
    </row>
    <row r="367" spans="4:5" ht="12.75">
      <c r="D367" s="30"/>
      <c r="E367" s="30"/>
    </row>
    <row r="368" spans="4:5" ht="12.75">
      <c r="D368" s="30"/>
      <c r="E368" s="30"/>
    </row>
    <row r="369" spans="4:5" ht="12.75">
      <c r="D369" s="30"/>
      <c r="E369" s="30"/>
    </row>
    <row r="370" spans="4:5" ht="12.75">
      <c r="D370" s="30"/>
      <c r="E370" s="30"/>
    </row>
    <row r="371" spans="4:5" ht="12.75">
      <c r="D371" s="30"/>
      <c r="E371" s="30"/>
    </row>
    <row r="372" spans="4:5" ht="12.75">
      <c r="D372" s="30"/>
      <c r="E372" s="30"/>
    </row>
    <row r="373" spans="4:5" ht="12.75">
      <c r="D373" s="30"/>
      <c r="E373" s="30"/>
    </row>
    <row r="374" spans="4:5" ht="12.75">
      <c r="D374" s="30"/>
      <c r="E374" s="30"/>
    </row>
    <row r="375" spans="4:5" ht="12.75">
      <c r="D375" s="30"/>
      <c r="E375" s="30"/>
    </row>
    <row r="376" spans="4:5" ht="12.75">
      <c r="D376" s="30"/>
      <c r="E376" s="30"/>
    </row>
    <row r="377" spans="4:5" ht="12.75">
      <c r="D377" s="30"/>
      <c r="E377" s="30"/>
    </row>
    <row r="378" spans="4:5" ht="12.75">
      <c r="D378" s="30"/>
      <c r="E378" s="30"/>
    </row>
    <row r="379" spans="4:5" ht="12.75">
      <c r="D379" s="30"/>
      <c r="E379" s="30"/>
    </row>
    <row r="380" spans="4:5" ht="12.75">
      <c r="D380" s="30"/>
      <c r="E380" s="30"/>
    </row>
    <row r="381" spans="4:5" ht="12.75">
      <c r="D381" s="30"/>
      <c r="E381" s="30"/>
    </row>
    <row r="382" spans="4:5" ht="12.75">
      <c r="D382" s="30"/>
      <c r="E382" s="30"/>
    </row>
    <row r="383" spans="4:5" ht="12.75">
      <c r="D383" s="30"/>
      <c r="E383" s="30"/>
    </row>
    <row r="384" spans="4:5" ht="12.75">
      <c r="D384" s="30"/>
      <c r="E384" s="30"/>
    </row>
    <row r="385" spans="4:5" ht="12.75">
      <c r="D385" s="30"/>
      <c r="E385" s="30"/>
    </row>
    <row r="386" spans="4:5" ht="12.75">
      <c r="D386" s="30"/>
      <c r="E386" s="30"/>
    </row>
    <row r="387" spans="4:5" ht="12.75">
      <c r="D387" s="30"/>
      <c r="E387" s="30"/>
    </row>
    <row r="388" spans="4:5" ht="12.75">
      <c r="D388" s="30"/>
      <c r="E388" s="30"/>
    </row>
    <row r="389" spans="4:5" ht="12.75">
      <c r="D389" s="30"/>
      <c r="E389" s="30"/>
    </row>
    <row r="390" spans="4:5" ht="12.75">
      <c r="D390" s="30"/>
      <c r="E390" s="30"/>
    </row>
    <row r="391" spans="4:5" ht="12.75">
      <c r="D391" s="30"/>
      <c r="E391" s="30"/>
    </row>
    <row r="392" spans="4:5" ht="12.75">
      <c r="D392" s="30"/>
      <c r="E392" s="30"/>
    </row>
    <row r="393" spans="4:5" ht="12.75">
      <c r="D393" s="30"/>
      <c r="E393" s="30"/>
    </row>
    <row r="394" spans="4:5" ht="12.75">
      <c r="D394" s="30"/>
      <c r="E394" s="30"/>
    </row>
    <row r="395" spans="4:5" ht="12.75">
      <c r="D395" s="30"/>
      <c r="E395" s="30"/>
    </row>
    <row r="396" spans="4:5" ht="12.75">
      <c r="D396" s="30"/>
      <c r="E396" s="30"/>
    </row>
    <row r="397" spans="4:5" ht="12.75">
      <c r="D397" s="30"/>
      <c r="E397" s="30"/>
    </row>
    <row r="398" spans="4:5" ht="12.75">
      <c r="D398" s="30"/>
      <c r="E398" s="30"/>
    </row>
    <row r="399" spans="4:5" ht="12.75">
      <c r="D399" s="30"/>
      <c r="E399" s="30"/>
    </row>
    <row r="400" spans="4:5" ht="12.75">
      <c r="D400" s="30"/>
      <c r="E400" s="30"/>
    </row>
    <row r="401" spans="4:5" ht="12.75">
      <c r="D401" s="30"/>
      <c r="E401" s="30"/>
    </row>
    <row r="402" spans="4:5" ht="12.75">
      <c r="D402" s="30"/>
      <c r="E402" s="30"/>
    </row>
    <row r="403" spans="4:5" ht="12.75">
      <c r="D403" s="30"/>
      <c r="E403" s="30"/>
    </row>
    <row r="404" spans="4:5" ht="12.75">
      <c r="D404" s="30"/>
      <c r="E404" s="30"/>
    </row>
    <row r="405" spans="4:5" ht="12.75">
      <c r="D405" s="30"/>
      <c r="E405" s="30"/>
    </row>
    <row r="406" spans="4:5" ht="12.75">
      <c r="D406" s="30"/>
      <c r="E406" s="30"/>
    </row>
    <row r="407" spans="4:5" ht="12.75">
      <c r="D407" s="30"/>
      <c r="E407" s="30"/>
    </row>
    <row r="408" spans="4:5" ht="12.75">
      <c r="D408" s="30"/>
      <c r="E408" s="30"/>
    </row>
    <row r="409" spans="4:5" ht="12.75">
      <c r="D409" s="30"/>
      <c r="E409" s="30"/>
    </row>
    <row r="410" spans="4:5" ht="12.75">
      <c r="D410" s="30"/>
      <c r="E410" s="30"/>
    </row>
    <row r="411" spans="4:5" ht="12.75">
      <c r="D411" s="30"/>
      <c r="E411" s="30"/>
    </row>
    <row r="412" spans="4:5" ht="12.75">
      <c r="D412" s="30"/>
      <c r="E412" s="30"/>
    </row>
    <row r="413" spans="4:5" ht="12.75">
      <c r="D413" s="30"/>
      <c r="E413" s="30"/>
    </row>
    <row r="414" spans="4:5" ht="12.75">
      <c r="D414" s="30"/>
      <c r="E414" s="30"/>
    </row>
    <row r="415" spans="4:5" ht="12.75">
      <c r="D415" s="30"/>
      <c r="E415" s="30"/>
    </row>
    <row r="416" spans="4:5" ht="12.75">
      <c r="D416" s="30"/>
      <c r="E416" s="30"/>
    </row>
    <row r="417" spans="4:5" ht="12.75">
      <c r="D417" s="30"/>
      <c r="E417" s="30"/>
    </row>
    <row r="418" spans="4:5" ht="12.75">
      <c r="D418" s="30"/>
      <c r="E418" s="30"/>
    </row>
    <row r="419" spans="4:5" ht="12.75">
      <c r="D419" s="30"/>
      <c r="E419" s="30"/>
    </row>
    <row r="420" spans="4:5" ht="12.75">
      <c r="D420" s="30"/>
      <c r="E420" s="30"/>
    </row>
    <row r="421" spans="4:5" ht="12.75">
      <c r="D421" s="30"/>
      <c r="E421" s="30"/>
    </row>
    <row r="422" spans="4:5" ht="12.75">
      <c r="D422" s="30"/>
      <c r="E422" s="30"/>
    </row>
    <row r="423" spans="4:5" ht="12.75">
      <c r="D423" s="30"/>
      <c r="E423" s="30"/>
    </row>
    <row r="424" spans="4:5" ht="12.75">
      <c r="D424" s="30"/>
      <c r="E424" s="30"/>
    </row>
    <row r="425" spans="4:5" ht="12.75">
      <c r="D425" s="30"/>
      <c r="E425" s="30"/>
    </row>
    <row r="426" spans="4:5" ht="12.75">
      <c r="D426" s="30"/>
      <c r="E426" s="30"/>
    </row>
    <row r="427" spans="4:5" ht="12.75">
      <c r="D427" s="30"/>
      <c r="E427" s="30"/>
    </row>
    <row r="428" spans="4:5" ht="12.75">
      <c r="D428" s="30"/>
      <c r="E428" s="30"/>
    </row>
    <row r="429" spans="4:5" ht="12.75">
      <c r="D429" s="30"/>
      <c r="E429" s="30"/>
    </row>
    <row r="430" spans="4:5" ht="12.75">
      <c r="D430" s="30"/>
      <c r="E430" s="30"/>
    </row>
    <row r="431" spans="4:5" ht="12.75">
      <c r="D431" s="30"/>
      <c r="E431" s="30"/>
    </row>
    <row r="432" spans="4:5" ht="12.75">
      <c r="D432" s="30"/>
      <c r="E432" s="30"/>
    </row>
    <row r="433" spans="4:5" ht="12.75">
      <c r="D433" s="30"/>
      <c r="E433" s="30"/>
    </row>
    <row r="434" spans="4:5" ht="12.75">
      <c r="D434" s="30"/>
      <c r="E434" s="30"/>
    </row>
    <row r="435" spans="4:5" ht="12.75">
      <c r="D435" s="30"/>
      <c r="E435" s="30"/>
    </row>
    <row r="436" spans="4:5" ht="12.75">
      <c r="D436" s="30"/>
      <c r="E436" s="30"/>
    </row>
    <row r="437" spans="4:5" ht="12.75">
      <c r="D437" s="30"/>
      <c r="E437" s="30"/>
    </row>
    <row r="438" spans="4:5" ht="12.75">
      <c r="D438" s="30"/>
      <c r="E438" s="30"/>
    </row>
    <row r="439" spans="4:5" ht="12.75">
      <c r="D439" s="30"/>
      <c r="E439" s="30"/>
    </row>
    <row r="440" spans="4:5" ht="12.75">
      <c r="D440" s="30"/>
      <c r="E440" s="30"/>
    </row>
    <row r="441" spans="4:5" ht="12.75">
      <c r="D441" s="30"/>
      <c r="E441" s="30"/>
    </row>
    <row r="442" spans="4:5" ht="12.75">
      <c r="D442" s="30"/>
      <c r="E442" s="30"/>
    </row>
    <row r="443" spans="4:5" ht="12.75">
      <c r="D443" s="30"/>
      <c r="E443" s="30"/>
    </row>
    <row r="444" spans="4:5" ht="12.75">
      <c r="D444" s="30"/>
      <c r="E444" s="30"/>
    </row>
    <row r="445" spans="4:5" ht="12.75">
      <c r="D445" s="30"/>
      <c r="E445" s="30"/>
    </row>
    <row r="446" spans="4:5" ht="12.75">
      <c r="D446" s="30"/>
      <c r="E446" s="30"/>
    </row>
    <row r="447" spans="4:5" ht="12.75">
      <c r="D447" s="30"/>
      <c r="E447" s="30"/>
    </row>
    <row r="448" spans="4:5" ht="12.75">
      <c r="D448" s="30"/>
      <c r="E448" s="30"/>
    </row>
    <row r="449" spans="4:5" ht="12.75">
      <c r="D449" s="30"/>
      <c r="E449" s="30"/>
    </row>
    <row r="450" spans="4:5" ht="12.75">
      <c r="D450" s="30"/>
      <c r="E450" s="30"/>
    </row>
    <row r="451" spans="4:5" ht="12.75">
      <c r="D451" s="30"/>
      <c r="E451" s="30"/>
    </row>
    <row r="452" spans="4:5" ht="12.75">
      <c r="D452" s="30"/>
      <c r="E452" s="30"/>
    </row>
    <row r="453" spans="4:5" ht="12.75">
      <c r="D453" s="30"/>
      <c r="E453" s="30"/>
    </row>
    <row r="454" spans="4:5" ht="12.75">
      <c r="D454" s="30"/>
      <c r="E454" s="30"/>
    </row>
    <row r="455" spans="4:5" ht="12.75">
      <c r="D455" s="30"/>
      <c r="E455" s="30"/>
    </row>
    <row r="456" spans="4:5" ht="12.75">
      <c r="D456" s="30"/>
      <c r="E456" s="30"/>
    </row>
    <row r="457" spans="4:5" ht="12.75">
      <c r="D457" s="30"/>
      <c r="E457" s="30"/>
    </row>
    <row r="458" spans="4:5" ht="12.75">
      <c r="D458" s="30"/>
      <c r="E458" s="30"/>
    </row>
    <row r="459" spans="4:5" ht="12.75">
      <c r="D459" s="30"/>
      <c r="E459" s="30"/>
    </row>
    <row r="460" spans="4:5" ht="12.75">
      <c r="D460" s="30"/>
      <c r="E460" s="30"/>
    </row>
    <row r="461" spans="4:5" ht="12.75">
      <c r="D461" s="30"/>
      <c r="E461" s="30"/>
    </row>
    <row r="462" spans="4:5" ht="12.75">
      <c r="D462" s="30"/>
      <c r="E462" s="30"/>
    </row>
    <row r="463" spans="4:5" ht="12.75">
      <c r="D463" s="30"/>
      <c r="E463" s="30"/>
    </row>
    <row r="464" spans="4:5" ht="12.75">
      <c r="D464" s="30"/>
      <c r="E464" s="30"/>
    </row>
    <row r="465" spans="4:5" ht="12.75">
      <c r="D465" s="30"/>
      <c r="E465" s="30"/>
    </row>
    <row r="466" spans="4:5" ht="12.75">
      <c r="D466" s="30"/>
      <c r="E466" s="30"/>
    </row>
    <row r="467" spans="4:5" ht="12.75">
      <c r="D467" s="30"/>
      <c r="E467" s="30"/>
    </row>
    <row r="468" spans="4:5" ht="12.75">
      <c r="D468" s="30"/>
      <c r="E468" s="30"/>
    </row>
    <row r="469" spans="4:5" ht="12.75">
      <c r="D469" s="30"/>
      <c r="E469" s="30"/>
    </row>
    <row r="470" spans="4:5" ht="12.75">
      <c r="D470" s="30"/>
      <c r="E470" s="30"/>
    </row>
    <row r="471" spans="4:5" ht="12.75">
      <c r="D471" s="30"/>
      <c r="E471" s="30"/>
    </row>
    <row r="472" spans="4:5" ht="12.75">
      <c r="D472" s="30"/>
      <c r="E472" s="30"/>
    </row>
    <row r="473" spans="4:5" ht="12.75">
      <c r="D473" s="30"/>
      <c r="E473" s="30"/>
    </row>
    <row r="474" spans="4:5" ht="12.75">
      <c r="D474" s="30"/>
      <c r="E474" s="30"/>
    </row>
    <row r="475" spans="4:5" ht="12.75">
      <c r="D475" s="30"/>
      <c r="E475" s="30"/>
    </row>
    <row r="476" spans="4:5" ht="12.75">
      <c r="D476" s="30"/>
      <c r="E476" s="30"/>
    </row>
    <row r="477" spans="4:5" ht="12.75">
      <c r="D477" s="30"/>
      <c r="E477" s="30"/>
    </row>
    <row r="478" spans="4:5" ht="12.75">
      <c r="D478" s="30"/>
      <c r="E478" s="30"/>
    </row>
    <row r="479" spans="4:5" ht="12.75">
      <c r="D479" s="30"/>
      <c r="E479" s="30"/>
    </row>
    <row r="480" spans="4:5" ht="12.75">
      <c r="D480" s="30"/>
      <c r="E480" s="30"/>
    </row>
    <row r="481" spans="4:5" ht="12.75">
      <c r="D481" s="30"/>
      <c r="E481" s="30"/>
    </row>
    <row r="482" spans="4:5" ht="12.75">
      <c r="D482" s="30"/>
      <c r="E482" s="30"/>
    </row>
    <row r="483" spans="4:5" ht="12.75">
      <c r="D483" s="30"/>
      <c r="E483" s="30"/>
    </row>
    <row r="484" spans="4:5" ht="12.75">
      <c r="D484" s="30"/>
      <c r="E484" s="30"/>
    </row>
    <row r="485" spans="4:5" ht="12.75">
      <c r="D485" s="30"/>
      <c r="E485" s="30"/>
    </row>
    <row r="486" spans="4:5" ht="12.75">
      <c r="D486" s="30"/>
      <c r="E486" s="30"/>
    </row>
    <row r="487" spans="4:5" ht="12.75">
      <c r="D487" s="30"/>
      <c r="E487" s="30"/>
    </row>
    <row r="488" spans="4:5" ht="12.75">
      <c r="D488" s="30"/>
      <c r="E488" s="30"/>
    </row>
    <row r="489" spans="4:5" ht="12.75">
      <c r="D489" s="30"/>
      <c r="E489" s="30"/>
    </row>
    <row r="490" spans="4:5" ht="12.75">
      <c r="D490" s="30"/>
      <c r="E490" s="30"/>
    </row>
    <row r="491" spans="4:5" ht="12.75">
      <c r="D491" s="30"/>
      <c r="E491" s="30"/>
    </row>
    <row r="492" spans="4:5" ht="12.75">
      <c r="D492" s="30"/>
      <c r="E492" s="30"/>
    </row>
    <row r="493" spans="4:5" ht="12.75">
      <c r="D493" s="30"/>
      <c r="E493" s="30"/>
    </row>
    <row r="494" spans="4:5" ht="12.75">
      <c r="D494" s="30"/>
      <c r="E494" s="30"/>
    </row>
    <row r="495" spans="4:5" ht="12.75">
      <c r="D495" s="30"/>
      <c r="E495" s="30"/>
    </row>
    <row r="496" spans="4:5" ht="12.75">
      <c r="D496" s="30"/>
      <c r="E496" s="30"/>
    </row>
    <row r="497" spans="4:5" ht="12.75">
      <c r="D497" s="30"/>
      <c r="E497" s="30"/>
    </row>
    <row r="498" spans="4:5" ht="12.75">
      <c r="D498" s="30"/>
      <c r="E498" s="30"/>
    </row>
    <row r="499" spans="4:5" ht="12.75">
      <c r="D499" s="30"/>
      <c r="E499" s="30"/>
    </row>
    <row r="500" spans="4:5" ht="12.75">
      <c r="D500" s="30"/>
      <c r="E500" s="30"/>
    </row>
    <row r="501" spans="4:5" ht="12.75">
      <c r="D501" s="30"/>
      <c r="E501" s="30"/>
    </row>
    <row r="502" spans="4:5" ht="12.75">
      <c r="D502" s="30"/>
      <c r="E502" s="30"/>
    </row>
    <row r="503" spans="4:5" ht="12.75">
      <c r="D503" s="30"/>
      <c r="E503" s="30"/>
    </row>
    <row r="504" spans="4:5" ht="12.75">
      <c r="D504" s="30"/>
      <c r="E504" s="30"/>
    </row>
    <row r="505" spans="4:5" ht="12.75">
      <c r="D505" s="30"/>
      <c r="E505" s="30"/>
    </row>
    <row r="506" spans="4:5" ht="12.75">
      <c r="D506" s="30"/>
      <c r="E506" s="30"/>
    </row>
    <row r="507" spans="4:5" ht="12.75">
      <c r="D507" s="30"/>
      <c r="E507" s="30"/>
    </row>
    <row r="508" spans="4:5" ht="12.75">
      <c r="D508" s="30"/>
      <c r="E508" s="30"/>
    </row>
    <row r="509" spans="4:5" ht="12.75">
      <c r="D509" s="30"/>
      <c r="E509" s="30"/>
    </row>
    <row r="510" spans="4:5" ht="12.75">
      <c r="D510" s="30"/>
      <c r="E510" s="30"/>
    </row>
    <row r="511" spans="4:5" ht="12.75">
      <c r="D511" s="30"/>
      <c r="E511" s="30"/>
    </row>
    <row r="512" spans="4:5" ht="12.75">
      <c r="D512" s="30"/>
      <c r="E512" s="30"/>
    </row>
    <row r="513" spans="4:5" ht="12.75">
      <c r="D513" s="30"/>
      <c r="E513" s="30"/>
    </row>
    <row r="514" spans="4:5" ht="12.75">
      <c r="D514" s="30"/>
      <c r="E514" s="30"/>
    </row>
    <row r="515" spans="4:5" ht="12.75">
      <c r="D515" s="30"/>
      <c r="E515" s="30"/>
    </row>
    <row r="516" spans="4:5" ht="12.75">
      <c r="D516" s="30"/>
      <c r="E516" s="30"/>
    </row>
    <row r="517" spans="4:5" ht="12.75">
      <c r="D517" s="30"/>
      <c r="E517" s="30"/>
    </row>
    <row r="518" spans="4:5" ht="12.75">
      <c r="D518" s="30"/>
      <c r="E518" s="30"/>
    </row>
    <row r="519" spans="4:5" ht="12.75">
      <c r="D519" s="30"/>
      <c r="E519" s="30"/>
    </row>
    <row r="520" spans="4:5" ht="12.75">
      <c r="D520" s="30"/>
      <c r="E520" s="30"/>
    </row>
    <row r="521" spans="4:5" ht="12.75">
      <c r="D521" s="30"/>
      <c r="E521" s="30"/>
    </row>
    <row r="522" spans="4:5" ht="12.75">
      <c r="D522" s="30"/>
      <c r="E522" s="30"/>
    </row>
    <row r="523" spans="4:5" ht="12.75">
      <c r="D523" s="30"/>
      <c r="E523" s="30"/>
    </row>
    <row r="524" spans="4:5" ht="12.75">
      <c r="D524" s="30"/>
      <c r="E524" s="30"/>
    </row>
    <row r="525" spans="4:5" ht="12.75">
      <c r="D525" s="30"/>
      <c r="E525" s="30"/>
    </row>
    <row r="526" spans="4:5" ht="12.75">
      <c r="D526" s="30"/>
      <c r="E526" s="30"/>
    </row>
    <row r="527" spans="4:5" ht="12.75">
      <c r="D527" s="30"/>
      <c r="E527" s="30"/>
    </row>
    <row r="528" spans="4:5" ht="12.75">
      <c r="D528" s="30"/>
      <c r="E528" s="30"/>
    </row>
    <row r="529" spans="4:5" ht="12.75">
      <c r="D529" s="30"/>
      <c r="E529" s="30"/>
    </row>
    <row r="530" spans="4:5" ht="12.75">
      <c r="D530" s="30"/>
      <c r="E530" s="30"/>
    </row>
    <row r="531" spans="4:5" ht="12.75">
      <c r="D531" s="30"/>
      <c r="E531" s="30"/>
    </row>
    <row r="532" spans="4:5" ht="12.75">
      <c r="D532" s="30"/>
      <c r="E532" s="30"/>
    </row>
    <row r="533" spans="4:5" ht="12.75">
      <c r="D533" s="30"/>
      <c r="E533" s="30"/>
    </row>
    <row r="534" spans="4:5" ht="12.75">
      <c r="D534" s="30"/>
      <c r="E534" s="30"/>
    </row>
    <row r="535" spans="4:5" ht="12.75">
      <c r="D535" s="30"/>
      <c r="E535" s="30"/>
    </row>
    <row r="536" spans="4:5" ht="12.75">
      <c r="D536" s="30"/>
      <c r="E536" s="30"/>
    </row>
    <row r="537" spans="4:5" ht="12.75">
      <c r="D537" s="30"/>
      <c r="E537" s="30"/>
    </row>
    <row r="538" spans="4:5" ht="12.75">
      <c r="D538" s="30"/>
      <c r="E538" s="30"/>
    </row>
    <row r="539" spans="4:5" ht="12.75">
      <c r="D539" s="30"/>
      <c r="E539" s="30"/>
    </row>
    <row r="540" spans="4:5" ht="12.75">
      <c r="D540" s="30"/>
      <c r="E540" s="30"/>
    </row>
    <row r="541" spans="4:5" ht="12.75">
      <c r="D541" s="30"/>
      <c r="E541" s="30"/>
    </row>
    <row r="542" spans="4:5" ht="12.75">
      <c r="D542" s="30"/>
      <c r="E542" s="30"/>
    </row>
    <row r="543" spans="4:5" ht="12.75">
      <c r="D543" s="30"/>
      <c r="E543" s="30"/>
    </row>
    <row r="544" spans="4:5" ht="12.75">
      <c r="D544" s="30"/>
      <c r="E544" s="30"/>
    </row>
    <row r="545" spans="4:5" ht="12.75">
      <c r="D545" s="30"/>
      <c r="E545" s="30"/>
    </row>
    <row r="546" spans="4:5" ht="12.75">
      <c r="D546" s="30"/>
      <c r="E546" s="30"/>
    </row>
    <row r="547" spans="4:5" ht="12.75">
      <c r="D547" s="30"/>
      <c r="E547" s="30"/>
    </row>
    <row r="548" spans="4:5" ht="12.75">
      <c r="D548" s="30"/>
      <c r="E548" s="30"/>
    </row>
    <row r="549" spans="4:5" ht="12.75">
      <c r="D549" s="30"/>
      <c r="E549" s="30"/>
    </row>
    <row r="550" spans="4:5" ht="12.75">
      <c r="D550" s="30"/>
      <c r="E550" s="30"/>
    </row>
    <row r="551" spans="4:5" ht="12.75">
      <c r="D551" s="30"/>
      <c r="E551" s="30"/>
    </row>
    <row r="552" spans="4:5" ht="12.75">
      <c r="D552" s="30"/>
      <c r="E552" s="30"/>
    </row>
    <row r="553" spans="4:5" ht="12.75">
      <c r="D553" s="30"/>
      <c r="E553" s="30"/>
    </row>
    <row r="554" spans="4:5" ht="12.75">
      <c r="D554" s="30"/>
      <c r="E554" s="30"/>
    </row>
    <row r="555" spans="4:5" ht="12.75">
      <c r="D555" s="30"/>
      <c r="E555" s="30"/>
    </row>
    <row r="556" spans="4:5" ht="12.75">
      <c r="D556" s="30"/>
      <c r="E556" s="30"/>
    </row>
    <row r="557" spans="4:5" ht="12.75">
      <c r="D557" s="30"/>
      <c r="E557" s="30"/>
    </row>
    <row r="558" spans="4:5" ht="12.75">
      <c r="D558" s="30"/>
      <c r="E558" s="30"/>
    </row>
    <row r="559" spans="4:5" ht="12.75">
      <c r="D559" s="30"/>
      <c r="E559" s="30"/>
    </row>
    <row r="560" spans="4:5" ht="12.75">
      <c r="D560" s="30"/>
      <c r="E560" s="30"/>
    </row>
    <row r="561" spans="4:5" ht="12.75">
      <c r="D561" s="30"/>
      <c r="E561" s="30"/>
    </row>
    <row r="562" spans="4:5" ht="12.75">
      <c r="D562" s="30"/>
      <c r="E562" s="30"/>
    </row>
    <row r="563" spans="4:5" ht="12.75">
      <c r="D563" s="30"/>
      <c r="E563" s="30"/>
    </row>
    <row r="564" spans="4:5" ht="12.75">
      <c r="D564" s="30"/>
      <c r="E564" s="30"/>
    </row>
    <row r="565" spans="4:5" ht="12.75">
      <c r="D565" s="30"/>
      <c r="E565" s="30"/>
    </row>
    <row r="566" spans="4:5" ht="12.75">
      <c r="D566" s="30"/>
      <c r="E566" s="30"/>
    </row>
    <row r="567" spans="4:5" ht="12.75">
      <c r="D567" s="30"/>
      <c r="E567" s="30"/>
    </row>
    <row r="568" spans="4:5" ht="12.75">
      <c r="D568" s="30"/>
      <c r="E568" s="30"/>
    </row>
    <row r="569" spans="4:5" ht="12.75">
      <c r="D569" s="30"/>
      <c r="E569" s="30"/>
    </row>
    <row r="570" spans="4:5" ht="12.75">
      <c r="D570" s="30"/>
      <c r="E570" s="30"/>
    </row>
    <row r="571" spans="4:5" ht="12.75">
      <c r="D571" s="30"/>
      <c r="E571" s="30"/>
    </row>
    <row r="572" spans="4:5" ht="12.75">
      <c r="D572" s="30"/>
      <c r="E572" s="30"/>
    </row>
    <row r="573" spans="4:5" ht="12.75">
      <c r="D573" s="30"/>
      <c r="E573" s="30"/>
    </row>
    <row r="574" spans="4:5" ht="12.75">
      <c r="D574" s="30"/>
      <c r="E574" s="30"/>
    </row>
    <row r="575" spans="4:5" ht="12.75">
      <c r="D575" s="30"/>
      <c r="E575" s="30"/>
    </row>
    <row r="576" spans="4:5" ht="12.75">
      <c r="D576" s="30"/>
      <c r="E576" s="30"/>
    </row>
    <row r="577" spans="4:5" ht="12.75">
      <c r="D577" s="30"/>
      <c r="E577" s="30"/>
    </row>
    <row r="578" spans="4:5" ht="12.75">
      <c r="D578" s="30"/>
      <c r="E578" s="30"/>
    </row>
    <row r="579" spans="4:5" ht="12.75">
      <c r="D579" s="30"/>
      <c r="E579" s="30"/>
    </row>
    <row r="580" spans="4:5" ht="12.75">
      <c r="D580" s="30"/>
      <c r="E580" s="30"/>
    </row>
    <row r="581" spans="4:5" ht="12.75">
      <c r="D581" s="30"/>
      <c r="E581" s="30"/>
    </row>
    <row r="582" spans="4:5" ht="12.75">
      <c r="D582" s="30"/>
      <c r="E582" s="30"/>
    </row>
    <row r="583" spans="4:5" ht="12.75">
      <c r="D583" s="30"/>
      <c r="E583" s="30"/>
    </row>
    <row r="584" spans="4:5" ht="12.75">
      <c r="D584" s="30"/>
      <c r="E584" s="30"/>
    </row>
    <row r="585" spans="4:5" ht="12.75">
      <c r="D585" s="30"/>
      <c r="E585" s="30"/>
    </row>
    <row r="586" spans="4:5" ht="12.75">
      <c r="D586" s="30"/>
      <c r="E586" s="30"/>
    </row>
    <row r="587" spans="4:5" ht="12.75">
      <c r="D587" s="30"/>
      <c r="E587" s="30"/>
    </row>
    <row r="588" spans="4:5" ht="12.75">
      <c r="D588" s="30"/>
      <c r="E588" s="30"/>
    </row>
    <row r="589" spans="4:5" ht="12.75">
      <c r="D589" s="30"/>
      <c r="E589" s="30"/>
    </row>
    <row r="590" spans="4:5" ht="12.75">
      <c r="D590" s="30"/>
      <c r="E590" s="30"/>
    </row>
    <row r="591" spans="4:5" ht="12.75">
      <c r="D591" s="30"/>
      <c r="E591" s="30"/>
    </row>
    <row r="592" spans="4:5" ht="12.75">
      <c r="D592" s="30"/>
      <c r="E592" s="30"/>
    </row>
    <row r="593" spans="4:5" ht="12.75">
      <c r="D593" s="30"/>
      <c r="E593" s="30"/>
    </row>
    <row r="594" spans="4:5" ht="12.75">
      <c r="D594" s="30"/>
      <c r="E594" s="30"/>
    </row>
    <row r="595" spans="4:5" ht="12.75">
      <c r="D595" s="30"/>
      <c r="E595" s="30"/>
    </row>
    <row r="596" spans="4:5" ht="12.75">
      <c r="D596" s="30"/>
      <c r="E596" s="30"/>
    </row>
    <row r="597" spans="4:5" ht="12.75">
      <c r="D597" s="30"/>
      <c r="E597" s="30"/>
    </row>
    <row r="598" spans="4:5" ht="12.75">
      <c r="D598" s="30"/>
      <c r="E598" s="30"/>
    </row>
    <row r="599" spans="4:5" ht="12.75">
      <c r="D599" s="30"/>
      <c r="E599" s="30"/>
    </row>
    <row r="600" spans="4:5" ht="12.75">
      <c r="D600" s="30"/>
      <c r="E600" s="30"/>
    </row>
    <row r="601" spans="4:5" ht="12.75">
      <c r="D601" s="30"/>
      <c r="E601" s="30"/>
    </row>
    <row r="602" spans="4:5" ht="12.75">
      <c r="D602" s="30"/>
      <c r="E602" s="30"/>
    </row>
    <row r="603" spans="4:5" ht="12.75">
      <c r="D603" s="30"/>
      <c r="E603" s="30"/>
    </row>
    <row r="604" spans="4:5" ht="12.75">
      <c r="D604" s="30"/>
      <c r="E604" s="30"/>
    </row>
    <row r="605" spans="4:5" ht="12.75">
      <c r="D605" s="30"/>
      <c r="E605" s="30"/>
    </row>
    <row r="606" spans="4:5" ht="12.75">
      <c r="D606" s="30"/>
      <c r="E606" s="30"/>
    </row>
    <row r="607" spans="4:5" ht="12.75">
      <c r="D607" s="30"/>
      <c r="E607" s="30"/>
    </row>
    <row r="608" spans="4:5" ht="12.75">
      <c r="D608" s="30"/>
      <c r="E608" s="30"/>
    </row>
    <row r="609" spans="4:5" ht="12.75">
      <c r="D609" s="30"/>
      <c r="E609" s="30"/>
    </row>
    <row r="610" spans="4:5" ht="12.75">
      <c r="D610" s="30"/>
      <c r="E610" s="30"/>
    </row>
    <row r="611" spans="4:5" ht="12.75">
      <c r="D611" s="30"/>
      <c r="E611" s="30"/>
    </row>
    <row r="612" spans="4:5" ht="12.75">
      <c r="D612" s="30"/>
      <c r="E612" s="30"/>
    </row>
    <row r="613" spans="4:5" ht="12.75">
      <c r="D613" s="30"/>
      <c r="E613" s="30"/>
    </row>
    <row r="614" spans="4:5" ht="12.75">
      <c r="D614" s="30"/>
      <c r="E614" s="30"/>
    </row>
    <row r="615" spans="4:5" ht="12.75">
      <c r="D615" s="30"/>
      <c r="E615" s="30"/>
    </row>
    <row r="616" spans="4:5" ht="12.75">
      <c r="D616" s="30"/>
      <c r="E616" s="30"/>
    </row>
    <row r="617" spans="4:5" ht="12.75">
      <c r="D617" s="30"/>
      <c r="E617" s="30"/>
    </row>
    <row r="618" spans="4:5" ht="12.75">
      <c r="D618" s="30"/>
      <c r="E618" s="30"/>
    </row>
    <row r="619" spans="4:5" ht="12.75">
      <c r="D619" s="30"/>
      <c r="E619" s="30"/>
    </row>
    <row r="620" spans="4:5" ht="12.75">
      <c r="D620" s="30"/>
      <c r="E620" s="30"/>
    </row>
    <row r="621" spans="4:5" ht="12.75">
      <c r="D621" s="30"/>
      <c r="E621" s="30"/>
    </row>
    <row r="622" spans="4:5" ht="12.75">
      <c r="D622" s="30"/>
      <c r="E622" s="30"/>
    </row>
    <row r="623" spans="4:5" ht="12.75">
      <c r="D623" s="30"/>
      <c r="E623" s="30"/>
    </row>
    <row r="624" spans="4:5" ht="12.75">
      <c r="D624" s="30"/>
      <c r="E624" s="30"/>
    </row>
    <row r="625" spans="4:5" ht="12.75">
      <c r="D625" s="30"/>
      <c r="E625" s="30"/>
    </row>
    <row r="626" spans="4:5" ht="12.75">
      <c r="D626" s="30"/>
      <c r="E626" s="30"/>
    </row>
    <row r="627" spans="4:5" ht="12.75">
      <c r="D627" s="30"/>
      <c r="E627" s="30"/>
    </row>
    <row r="628" spans="4:5" ht="12.75">
      <c r="D628" s="30"/>
      <c r="E628" s="30"/>
    </row>
    <row r="629" spans="4:5" ht="12.75">
      <c r="D629" s="30"/>
      <c r="E629" s="30"/>
    </row>
    <row r="630" spans="4:5" ht="12.75">
      <c r="D630" s="30"/>
      <c r="E630" s="30"/>
    </row>
    <row r="631" spans="4:5" ht="12.75">
      <c r="D631" s="30"/>
      <c r="E631" s="30"/>
    </row>
    <row r="632" spans="4:5" ht="12.75">
      <c r="D632" s="30"/>
      <c r="E632" s="30"/>
    </row>
    <row r="633" spans="4:5" ht="12.75">
      <c r="D633" s="30"/>
      <c r="E633" s="30"/>
    </row>
    <row r="634" spans="4:5" ht="12.75">
      <c r="D634" s="30"/>
      <c r="E634" s="30"/>
    </row>
    <row r="635" spans="4:5" ht="12.75">
      <c r="D635" s="30"/>
      <c r="E635" s="30"/>
    </row>
    <row r="636" spans="4:5" ht="12.75">
      <c r="D636" s="30"/>
      <c r="E636" s="30"/>
    </row>
    <row r="637" spans="4:5" ht="12.75">
      <c r="D637" s="30"/>
      <c r="E637" s="30"/>
    </row>
    <row r="638" spans="4:5" ht="12.75">
      <c r="D638" s="30"/>
      <c r="E638" s="30"/>
    </row>
    <row r="639" spans="4:5" ht="12.75">
      <c r="D639" s="30"/>
      <c r="E639" s="30"/>
    </row>
    <row r="640" spans="4:5" ht="12.75">
      <c r="D640" s="30"/>
      <c r="E640" s="30"/>
    </row>
    <row r="641" spans="4:5" ht="12.75">
      <c r="D641" s="30"/>
      <c r="E641" s="30"/>
    </row>
    <row r="642" spans="4:5" ht="12.75">
      <c r="D642" s="30"/>
      <c r="E642" s="30"/>
    </row>
    <row r="643" spans="4:5" ht="12.75">
      <c r="D643" s="30"/>
      <c r="E643" s="30"/>
    </row>
    <row r="644" spans="4:5" ht="12.75">
      <c r="D644" s="30"/>
      <c r="E644" s="30"/>
    </row>
    <row r="645" spans="4:5" ht="12.75">
      <c r="D645" s="30"/>
      <c r="E645" s="30"/>
    </row>
    <row r="646" spans="4:5" ht="12.75">
      <c r="D646" s="30"/>
      <c r="E646" s="30"/>
    </row>
    <row r="647" spans="4:5" ht="12.75">
      <c r="D647" s="30"/>
      <c r="E647" s="30"/>
    </row>
    <row r="648" spans="4:5" ht="12.75">
      <c r="D648" s="30"/>
      <c r="E648" s="30"/>
    </row>
    <row r="649" spans="4:5" ht="12.75">
      <c r="D649" s="30"/>
      <c r="E649" s="30"/>
    </row>
    <row r="650" spans="4:5" ht="12.75">
      <c r="D650" s="30"/>
      <c r="E650" s="30"/>
    </row>
    <row r="651" spans="4:5" ht="12.75">
      <c r="D651" s="30"/>
      <c r="E651" s="30"/>
    </row>
    <row r="652" spans="4:5" ht="12.75">
      <c r="D652" s="30"/>
      <c r="E652" s="30"/>
    </row>
    <row r="653" spans="4:5" ht="12.75">
      <c r="D653" s="30"/>
      <c r="E653" s="30"/>
    </row>
    <row r="654" spans="4:5" ht="12.75">
      <c r="D654" s="30"/>
      <c r="E654" s="30"/>
    </row>
    <row r="655" spans="4:5" ht="12.75">
      <c r="D655" s="30"/>
      <c r="E655" s="30"/>
    </row>
    <row r="656" spans="4:5" ht="12.75">
      <c r="D656" s="30"/>
      <c r="E656" s="30"/>
    </row>
    <row r="657" spans="4:5" ht="12.75">
      <c r="D657" s="30"/>
      <c r="E657" s="30"/>
    </row>
    <row r="658" spans="4:5" ht="12.75">
      <c r="D658" s="30"/>
      <c r="E658" s="30"/>
    </row>
    <row r="659" spans="4:5" ht="12.75">
      <c r="D659" s="30"/>
      <c r="E659" s="30"/>
    </row>
    <row r="660" spans="4:5" ht="12.75">
      <c r="D660" s="30"/>
      <c r="E660" s="30"/>
    </row>
    <row r="661" spans="4:5" ht="12.75">
      <c r="D661" s="30"/>
      <c r="E661" s="30"/>
    </row>
    <row r="662" spans="4:5" ht="12.75">
      <c r="D662" s="30"/>
      <c r="E662" s="30"/>
    </row>
    <row r="663" spans="4:5" ht="12.75">
      <c r="D663" s="30"/>
      <c r="E663" s="30"/>
    </row>
    <row r="664" spans="4:5" ht="12.75">
      <c r="D664" s="30"/>
      <c r="E664" s="30"/>
    </row>
    <row r="665" spans="4:5" ht="12.75">
      <c r="D665" s="30"/>
      <c r="E665" s="30"/>
    </row>
    <row r="666" spans="4:5" ht="12.75">
      <c r="D666" s="30"/>
      <c r="E666" s="30"/>
    </row>
    <row r="667" spans="4:5" ht="12.75">
      <c r="D667" s="30"/>
      <c r="E667" s="30"/>
    </row>
    <row r="668" spans="4:5" ht="12.75">
      <c r="D668" s="30"/>
      <c r="E668" s="30"/>
    </row>
    <row r="669" spans="4:5" ht="12.75">
      <c r="D669" s="30"/>
      <c r="E669" s="30"/>
    </row>
    <row r="670" spans="4:5" ht="12.75">
      <c r="D670" s="30"/>
      <c r="E670" s="30"/>
    </row>
    <row r="671" spans="4:5" ht="12.75">
      <c r="D671" s="30"/>
      <c r="E671" s="30"/>
    </row>
    <row r="672" spans="4:5" ht="12.75">
      <c r="D672" s="30"/>
      <c r="E672" s="30"/>
    </row>
    <row r="673" spans="4:5" ht="12.75">
      <c r="D673" s="30"/>
      <c r="E673" s="30"/>
    </row>
    <row r="674" spans="4:5" ht="12.75">
      <c r="D674" s="30"/>
      <c r="E674" s="30"/>
    </row>
    <row r="675" spans="4:5" ht="12.75">
      <c r="D675" s="30"/>
      <c r="E675" s="30"/>
    </row>
    <row r="676" spans="4:5" ht="12.75">
      <c r="D676" s="30"/>
      <c r="E676" s="30"/>
    </row>
    <row r="677" spans="4:5" ht="12.75">
      <c r="D677" s="30"/>
      <c r="E677" s="30"/>
    </row>
    <row r="678" spans="4:5" ht="12.75">
      <c r="D678" s="30"/>
      <c r="E678" s="30"/>
    </row>
    <row r="679" spans="4:5" ht="12.75">
      <c r="D679" s="30"/>
      <c r="E679" s="30"/>
    </row>
    <row r="680" spans="4:5" ht="12.75">
      <c r="D680" s="30"/>
      <c r="E680" s="30"/>
    </row>
    <row r="681" spans="4:5" ht="12.75">
      <c r="D681" s="30"/>
      <c r="E681" s="30"/>
    </row>
    <row r="682" spans="4:5" ht="12.75">
      <c r="D682" s="30"/>
      <c r="E682" s="30"/>
    </row>
    <row r="683" spans="4:5" ht="12.75">
      <c r="D683" s="30"/>
      <c r="E683" s="30"/>
    </row>
    <row r="684" spans="4:5" ht="12.75">
      <c r="D684" s="30"/>
      <c r="E684" s="30"/>
    </row>
    <row r="685" spans="4:5" ht="12.75">
      <c r="D685" s="30"/>
      <c r="E685" s="30"/>
    </row>
    <row r="686" spans="4:5" ht="12.75">
      <c r="D686" s="30"/>
      <c r="E686" s="30"/>
    </row>
    <row r="687" spans="4:5" ht="12.75">
      <c r="D687" s="30"/>
      <c r="E687" s="30"/>
    </row>
    <row r="688" spans="4:5" ht="12.75">
      <c r="D688" s="30"/>
      <c r="E688" s="30"/>
    </row>
    <row r="689" spans="4:5" ht="12.75">
      <c r="D689" s="30"/>
      <c r="E689" s="30"/>
    </row>
    <row r="690" spans="4:5" ht="12.75">
      <c r="D690" s="30"/>
      <c r="E690" s="30"/>
    </row>
    <row r="691" spans="4:5" ht="12.75">
      <c r="D691" s="30"/>
      <c r="E691" s="30"/>
    </row>
    <row r="692" spans="4:5" ht="12.75">
      <c r="D692" s="30"/>
      <c r="E692" s="30"/>
    </row>
    <row r="693" spans="4:5" ht="12.75">
      <c r="D693" s="30"/>
      <c r="E693" s="30"/>
    </row>
    <row r="694" spans="4:5" ht="12.75">
      <c r="D694" s="30"/>
      <c r="E694" s="30"/>
    </row>
    <row r="695" spans="4:5" ht="12.75">
      <c r="D695" s="30"/>
      <c r="E695" s="30"/>
    </row>
    <row r="696" spans="4:5" ht="12.75">
      <c r="D696" s="30"/>
      <c r="E696" s="30"/>
    </row>
    <row r="697" spans="4:5" ht="12.75">
      <c r="D697" s="30"/>
      <c r="E697" s="30"/>
    </row>
    <row r="698" spans="4:5" ht="12.75">
      <c r="D698" s="30"/>
      <c r="E698" s="30"/>
    </row>
    <row r="699" spans="4:5" ht="12.75">
      <c r="D699" s="30"/>
      <c r="E699" s="30"/>
    </row>
    <row r="700" spans="4:5" ht="12.75">
      <c r="D700" s="30"/>
      <c r="E700" s="30"/>
    </row>
    <row r="701" spans="4:5" ht="12.75">
      <c r="D701" s="30"/>
      <c r="E701" s="30"/>
    </row>
    <row r="702" spans="4:5" ht="12.75">
      <c r="D702" s="30"/>
      <c r="E702" s="30"/>
    </row>
    <row r="703" spans="4:5" ht="12.75">
      <c r="D703" s="30"/>
      <c r="E703" s="30"/>
    </row>
    <row r="704" spans="4:5" ht="12.75">
      <c r="D704" s="30"/>
      <c r="E704" s="30"/>
    </row>
    <row r="705" spans="4:5" ht="12.75">
      <c r="D705" s="30"/>
      <c r="E705" s="30"/>
    </row>
    <row r="706" spans="4:5" ht="12.75">
      <c r="D706" s="30"/>
      <c r="E706" s="30"/>
    </row>
    <row r="707" spans="4:5" ht="12.75">
      <c r="D707" s="30"/>
      <c r="E707" s="30"/>
    </row>
    <row r="708" spans="4:5" ht="12.75">
      <c r="D708" s="30"/>
      <c r="E708" s="30"/>
    </row>
    <row r="709" spans="4:5" ht="12.75">
      <c r="D709" s="30"/>
      <c r="E709" s="30"/>
    </row>
    <row r="710" spans="4:5" ht="12.75">
      <c r="D710" s="30"/>
      <c r="E710" s="30"/>
    </row>
    <row r="711" spans="4:5" ht="12.75">
      <c r="D711" s="30"/>
      <c r="E711" s="30"/>
    </row>
    <row r="712" spans="4:5" ht="12.75">
      <c r="D712" s="30"/>
      <c r="E712" s="30"/>
    </row>
    <row r="713" spans="4:5" ht="12.75">
      <c r="D713" s="30"/>
      <c r="E713" s="30"/>
    </row>
    <row r="714" spans="4:5" ht="12.75">
      <c r="D714" s="30"/>
      <c r="E714" s="30"/>
    </row>
    <row r="715" spans="4:5" ht="12.75">
      <c r="D715" s="30"/>
      <c r="E715" s="30"/>
    </row>
    <row r="716" spans="4:5" ht="12.75">
      <c r="D716" s="30"/>
      <c r="E716" s="30"/>
    </row>
    <row r="717" spans="4:5" ht="12.75">
      <c r="D717" s="30"/>
      <c r="E717" s="30"/>
    </row>
    <row r="718" spans="4:5" ht="12.75">
      <c r="D718" s="30"/>
      <c r="E718" s="30"/>
    </row>
    <row r="719" spans="4:5" ht="12.75">
      <c r="D719" s="30"/>
      <c r="E719" s="30"/>
    </row>
    <row r="720" spans="4:5" ht="12.75">
      <c r="D720" s="30"/>
      <c r="E720" s="30"/>
    </row>
    <row r="721" spans="4:5" ht="12.75">
      <c r="D721" s="30"/>
      <c r="E721" s="30"/>
    </row>
    <row r="722" spans="4:5" ht="12.75">
      <c r="D722" s="30"/>
      <c r="E722" s="30"/>
    </row>
    <row r="723" spans="4:5" ht="12.75">
      <c r="D723" s="30"/>
      <c r="E723" s="30"/>
    </row>
    <row r="724" spans="4:5" ht="12.75">
      <c r="D724" s="30"/>
      <c r="E724" s="30"/>
    </row>
    <row r="725" spans="4:5" ht="12.75">
      <c r="D725" s="30"/>
      <c r="E725" s="30"/>
    </row>
    <row r="726" spans="4:5" ht="12.75">
      <c r="D726" s="30"/>
      <c r="E726" s="30"/>
    </row>
    <row r="727" spans="4:5" ht="12.75">
      <c r="D727" s="30"/>
      <c r="E727" s="30"/>
    </row>
    <row r="728" spans="4:5" ht="12.75">
      <c r="D728" s="30"/>
      <c r="E728" s="30"/>
    </row>
    <row r="729" spans="4:5" ht="12.75">
      <c r="D729" s="30"/>
      <c r="E729" s="30"/>
    </row>
    <row r="730" spans="4:5" ht="12.75">
      <c r="D730" s="30"/>
      <c r="E730" s="30"/>
    </row>
    <row r="731" spans="4:5" ht="12.75">
      <c r="D731" s="30"/>
      <c r="E731" s="30"/>
    </row>
    <row r="732" spans="4:5" ht="12.75">
      <c r="D732" s="30"/>
      <c r="E732" s="30"/>
    </row>
    <row r="733" spans="4:5" ht="12.75">
      <c r="D733" s="30"/>
      <c r="E733" s="30"/>
    </row>
    <row r="734" spans="4:5" ht="12.75">
      <c r="D734" s="30"/>
      <c r="E734" s="30"/>
    </row>
    <row r="735" spans="4:5" ht="12.75">
      <c r="D735" s="30"/>
      <c r="E735" s="30"/>
    </row>
    <row r="736" spans="4:5" ht="12.75">
      <c r="D736" s="30"/>
      <c r="E736" s="30"/>
    </row>
    <row r="737" spans="4:5" ht="12.75">
      <c r="D737" s="30"/>
      <c r="E737" s="30"/>
    </row>
    <row r="738" spans="4:5" ht="12.75">
      <c r="D738" s="30"/>
      <c r="E738" s="30"/>
    </row>
    <row r="739" spans="4:5" ht="12.75">
      <c r="D739" s="30"/>
      <c r="E739" s="30"/>
    </row>
    <row r="740" spans="4:5" ht="12.75">
      <c r="D740" s="30"/>
      <c r="E740" s="30"/>
    </row>
    <row r="741" spans="4:5" ht="12.75">
      <c r="D741" s="30"/>
      <c r="E741" s="30"/>
    </row>
    <row r="742" spans="4:5" ht="12.75">
      <c r="D742" s="30"/>
      <c r="E742" s="30"/>
    </row>
    <row r="743" spans="4:5" ht="12.75">
      <c r="D743" s="30"/>
      <c r="E743" s="30"/>
    </row>
    <row r="744" spans="4:5" ht="12.75">
      <c r="D744" s="30"/>
      <c r="E744" s="30"/>
    </row>
    <row r="745" spans="4:5" ht="12.75">
      <c r="D745" s="30"/>
      <c r="E745" s="30"/>
    </row>
    <row r="746" spans="4:5" ht="12.75">
      <c r="D746" s="30"/>
      <c r="E746" s="30"/>
    </row>
    <row r="747" spans="4:5" ht="12.75">
      <c r="D747" s="30"/>
      <c r="E747" s="30"/>
    </row>
    <row r="748" spans="4:5" ht="12.75">
      <c r="D748" s="30"/>
      <c r="E748" s="30"/>
    </row>
    <row r="749" spans="4:5" ht="12.75">
      <c r="D749" s="30"/>
      <c r="E749" s="30"/>
    </row>
    <row r="750" spans="4:5" ht="12.75">
      <c r="D750" s="30"/>
      <c r="E750" s="30"/>
    </row>
    <row r="751" spans="4:5" ht="12.75">
      <c r="D751" s="30"/>
      <c r="E751" s="30"/>
    </row>
    <row r="752" spans="4:5" ht="12.75">
      <c r="D752" s="30"/>
      <c r="E752" s="30"/>
    </row>
    <row r="753" spans="4:5" ht="12.75">
      <c r="D753" s="30"/>
      <c r="E753" s="30"/>
    </row>
    <row r="754" spans="4:5" ht="12.75">
      <c r="D754" s="30"/>
      <c r="E754" s="30"/>
    </row>
    <row r="755" spans="4:5" ht="12.75">
      <c r="D755" s="30"/>
      <c r="E755" s="30"/>
    </row>
    <row r="756" spans="4:5" ht="12.75">
      <c r="D756" s="30"/>
      <c r="E756" s="30"/>
    </row>
    <row r="757" spans="4:5" ht="12.75">
      <c r="D757" s="30"/>
      <c r="E757" s="30"/>
    </row>
    <row r="758" spans="4:5" ht="12.75">
      <c r="D758" s="30"/>
      <c r="E758" s="30"/>
    </row>
    <row r="759" spans="4:5" ht="12.75">
      <c r="D759" s="30"/>
      <c r="E759" s="30"/>
    </row>
    <row r="760" spans="4:5" ht="12.75">
      <c r="D760" s="30"/>
      <c r="E760" s="30"/>
    </row>
    <row r="761" spans="4:5" ht="12.75">
      <c r="D761" s="30"/>
      <c r="E761" s="30"/>
    </row>
    <row r="762" spans="4:5" ht="12.75">
      <c r="D762" s="30"/>
      <c r="E762" s="30"/>
    </row>
    <row r="763" spans="4:5" ht="12.75">
      <c r="D763" s="30"/>
      <c r="E763" s="30"/>
    </row>
    <row r="764" spans="4:5" ht="12.75">
      <c r="D764" s="30"/>
      <c r="E764" s="30"/>
    </row>
    <row r="765" spans="4:5" ht="12.75">
      <c r="D765" s="30"/>
      <c r="E765" s="30"/>
    </row>
    <row r="766" spans="4:5" ht="12.75">
      <c r="D766" s="30"/>
      <c r="E766" s="30"/>
    </row>
    <row r="767" spans="4:5" ht="12.75">
      <c r="D767" s="30"/>
      <c r="E767" s="30"/>
    </row>
    <row r="768" spans="4:5" ht="12.75">
      <c r="D768" s="30"/>
      <c r="E768" s="30"/>
    </row>
    <row r="769" spans="4:5" ht="12.75">
      <c r="D769" s="30"/>
      <c r="E769" s="30"/>
    </row>
    <row r="770" spans="4:5" ht="12.75">
      <c r="D770" s="30"/>
      <c r="E770" s="30"/>
    </row>
    <row r="771" spans="4:5" ht="12.75">
      <c r="D771" s="30"/>
      <c r="E771" s="30"/>
    </row>
    <row r="772" spans="4:5" ht="12.75">
      <c r="D772" s="30"/>
      <c r="E772" s="30"/>
    </row>
    <row r="773" spans="4:5" ht="12.75">
      <c r="D773" s="30"/>
      <c r="E773" s="30"/>
    </row>
    <row r="774" spans="4:5" ht="12.75">
      <c r="D774" s="30"/>
      <c r="E774" s="30"/>
    </row>
    <row r="775" spans="4:5" ht="12.75">
      <c r="D775" s="30"/>
      <c r="E775" s="30"/>
    </row>
    <row r="776" spans="4:5" ht="12.75">
      <c r="D776" s="30"/>
      <c r="E776" s="30"/>
    </row>
    <row r="777" spans="4:5" ht="12.75">
      <c r="D777" s="30"/>
      <c r="E777" s="30"/>
    </row>
    <row r="778" spans="4:5" ht="12.75">
      <c r="D778" s="30"/>
      <c r="E778" s="30"/>
    </row>
    <row r="779" spans="4:5" ht="12.75">
      <c r="D779" s="30"/>
      <c r="E779" s="30"/>
    </row>
    <row r="780" spans="4:5" ht="12.75">
      <c r="D780" s="30"/>
      <c r="E780" s="30"/>
    </row>
    <row r="781" spans="4:5" ht="12.75">
      <c r="D781" s="30"/>
      <c r="E781" s="30"/>
    </row>
    <row r="782" spans="4:5" ht="12.75">
      <c r="D782" s="30"/>
      <c r="E782" s="30"/>
    </row>
    <row r="783" spans="4:5" ht="12.75">
      <c r="D783" s="30"/>
      <c r="E783" s="30"/>
    </row>
    <row r="784" spans="4:5" ht="12.75">
      <c r="D784" s="30"/>
      <c r="E784" s="30"/>
    </row>
    <row r="785" spans="4:5" ht="12.75">
      <c r="D785" s="30"/>
      <c r="E785" s="30"/>
    </row>
    <row r="786" spans="4:5" ht="12.75">
      <c r="D786" s="30"/>
      <c r="E786" s="30"/>
    </row>
    <row r="787" spans="4:5" ht="12.75">
      <c r="D787" s="30"/>
      <c r="E787" s="30"/>
    </row>
    <row r="788" spans="4:5" ht="12.75">
      <c r="D788" s="30"/>
      <c r="E788" s="30"/>
    </row>
    <row r="789" spans="4:5" ht="12.75">
      <c r="D789" s="30"/>
      <c r="E789" s="30"/>
    </row>
    <row r="790" spans="4:5" ht="12.75">
      <c r="D790" s="30"/>
      <c r="E790" s="30"/>
    </row>
    <row r="791" spans="4:5" ht="12.75">
      <c r="D791" s="30"/>
      <c r="E791" s="30"/>
    </row>
    <row r="792" spans="4:5" ht="12.75">
      <c r="D792" s="30"/>
      <c r="E792" s="30"/>
    </row>
    <row r="793" spans="4:5" ht="12.75">
      <c r="D793" s="30"/>
      <c r="E793" s="30"/>
    </row>
    <row r="794" spans="4:5" ht="12.75">
      <c r="D794" s="30"/>
      <c r="E794" s="30"/>
    </row>
    <row r="795" spans="4:5" ht="12.75">
      <c r="D795" s="30"/>
      <c r="E795" s="30"/>
    </row>
    <row r="796" spans="4:5" ht="12.75">
      <c r="D796" s="30"/>
      <c r="E796" s="30"/>
    </row>
    <row r="797" spans="4:5" ht="12.75">
      <c r="D797" s="30"/>
      <c r="E797" s="30"/>
    </row>
    <row r="798" spans="4:5" ht="12.75">
      <c r="D798" s="30"/>
      <c r="E798" s="30"/>
    </row>
    <row r="799" spans="4:5" ht="12.75">
      <c r="D799" s="30"/>
      <c r="E799" s="30"/>
    </row>
    <row r="800" spans="4:5" ht="12.75">
      <c r="D800" s="30"/>
      <c r="E800" s="30"/>
    </row>
    <row r="801" spans="4:5" ht="12.75">
      <c r="D801" s="30"/>
      <c r="E801" s="30"/>
    </row>
    <row r="802" spans="4:5" ht="12.75">
      <c r="D802" s="30"/>
      <c r="E802" s="30"/>
    </row>
    <row r="803" spans="4:5" ht="12.75">
      <c r="D803" s="30"/>
      <c r="E803" s="30"/>
    </row>
    <row r="804" spans="4:5" ht="12.75">
      <c r="D804" s="30"/>
      <c r="E804" s="30"/>
    </row>
    <row r="805" spans="4:5" ht="12.75">
      <c r="D805" s="30"/>
      <c r="E805" s="30"/>
    </row>
    <row r="806" spans="4:5" ht="12.75">
      <c r="D806" s="30"/>
      <c r="E806" s="30"/>
    </row>
    <row r="807" spans="4:5" ht="12.75">
      <c r="D807" s="30"/>
      <c r="E807" s="30"/>
    </row>
    <row r="808" spans="4:5" ht="12.75">
      <c r="D808" s="30"/>
      <c r="E808" s="30"/>
    </row>
    <row r="809" spans="4:5" ht="12.75">
      <c r="D809" s="30"/>
      <c r="E809" s="30"/>
    </row>
    <row r="810" spans="4:5" ht="12.75">
      <c r="D810" s="30"/>
      <c r="E810" s="30"/>
    </row>
    <row r="811" spans="4:5" ht="12.75">
      <c r="D811" s="30"/>
      <c r="E811" s="30"/>
    </row>
    <row r="812" spans="4:5" ht="12.75">
      <c r="D812" s="30"/>
      <c r="E812" s="30"/>
    </row>
    <row r="813" spans="4:5" ht="12.75">
      <c r="D813" s="30"/>
      <c r="E813" s="30"/>
    </row>
    <row r="814" spans="4:5" ht="12.75">
      <c r="D814" s="30"/>
      <c r="E814" s="30"/>
    </row>
    <row r="815" spans="4:5" ht="12.75">
      <c r="D815" s="30"/>
      <c r="E815" s="30"/>
    </row>
    <row r="816" spans="4:5" ht="12.75">
      <c r="D816" s="30"/>
      <c r="E816" s="30"/>
    </row>
    <row r="817" spans="4:5" ht="12.75">
      <c r="D817" s="30"/>
      <c r="E817" s="30"/>
    </row>
    <row r="818" spans="4:5" ht="12.75">
      <c r="D818" s="30"/>
      <c r="E818" s="30"/>
    </row>
    <row r="819" spans="4:5" ht="12.75">
      <c r="D819" s="30"/>
      <c r="E819" s="30"/>
    </row>
    <row r="820" spans="4:5" ht="12.75">
      <c r="D820" s="30"/>
      <c r="E820" s="30"/>
    </row>
    <row r="821" spans="4:5" ht="12.75">
      <c r="D821" s="30"/>
      <c r="E821" s="30"/>
    </row>
    <row r="822" spans="4:5" ht="12.75">
      <c r="D822" s="30"/>
      <c r="E822" s="30"/>
    </row>
    <row r="823" spans="4:5" ht="12.75">
      <c r="D823" s="30"/>
      <c r="E823" s="30"/>
    </row>
    <row r="824" spans="4:5" ht="12.75">
      <c r="D824" s="30"/>
      <c r="E824" s="30"/>
    </row>
    <row r="825" spans="4:5" ht="12.75">
      <c r="D825" s="30"/>
      <c r="E825" s="30"/>
    </row>
    <row r="826" spans="4:5" ht="12.75">
      <c r="D826" s="30"/>
      <c r="E826" s="30"/>
    </row>
    <row r="827" spans="4:5" ht="12.75">
      <c r="D827" s="30"/>
      <c r="E827" s="30"/>
    </row>
    <row r="828" spans="4:5" ht="12.75">
      <c r="D828" s="30"/>
      <c r="E828" s="30"/>
    </row>
    <row r="829" spans="4:5" ht="12.75">
      <c r="D829" s="30"/>
      <c r="E829" s="30"/>
    </row>
    <row r="830" spans="4:5" ht="12.75">
      <c r="D830" s="30"/>
      <c r="E830" s="30"/>
    </row>
    <row r="831" spans="4:5" ht="12.75">
      <c r="D831" s="30"/>
      <c r="E831" s="30"/>
    </row>
    <row r="832" spans="4:5" ht="12.75">
      <c r="D832" s="30"/>
      <c r="E832" s="30"/>
    </row>
    <row r="833" spans="4:5" ht="12.75">
      <c r="D833" s="30"/>
      <c r="E833" s="30"/>
    </row>
    <row r="834" spans="4:5" ht="12.75">
      <c r="D834" s="30"/>
      <c r="E834" s="30"/>
    </row>
    <row r="835" spans="4:5" ht="12.75">
      <c r="D835" s="30"/>
      <c r="E835" s="30"/>
    </row>
    <row r="836" spans="4:5" ht="12.75">
      <c r="D836" s="30"/>
      <c r="E836" s="30"/>
    </row>
    <row r="837" spans="4:5" ht="12.75">
      <c r="D837" s="30"/>
      <c r="E837" s="30"/>
    </row>
    <row r="838" spans="4:5" ht="12.75">
      <c r="D838" s="30"/>
      <c r="E838" s="30"/>
    </row>
    <row r="839" spans="4:5" ht="12.75">
      <c r="D839" s="30"/>
      <c r="E839" s="30"/>
    </row>
    <row r="840" spans="4:5" ht="12.75">
      <c r="D840" s="30"/>
      <c r="E840" s="30"/>
    </row>
    <row r="841" spans="4:5" ht="12.75">
      <c r="D841" s="30"/>
      <c r="E841" s="30"/>
    </row>
    <row r="842" spans="4:5" ht="12.75">
      <c r="D842" s="30"/>
      <c r="E842" s="30"/>
    </row>
    <row r="843" spans="4:5" ht="12.75">
      <c r="D843" s="30"/>
      <c r="E843" s="30"/>
    </row>
    <row r="844" spans="4:5" ht="12.75">
      <c r="D844" s="30"/>
      <c r="E844" s="30"/>
    </row>
    <row r="845" spans="4:5" ht="12.75">
      <c r="D845" s="30"/>
      <c r="E845" s="30"/>
    </row>
    <row r="846" spans="4:5" ht="12.75">
      <c r="D846" s="30"/>
      <c r="E846" s="30"/>
    </row>
    <row r="847" spans="4:5" ht="12.75">
      <c r="D847" s="30"/>
      <c r="E847" s="30"/>
    </row>
    <row r="848" spans="4:5" ht="12.75">
      <c r="D848" s="30"/>
      <c r="E848" s="30"/>
    </row>
    <row r="849" spans="4:5" ht="12.75">
      <c r="D849" s="30"/>
      <c r="E849" s="30"/>
    </row>
    <row r="850" spans="4:5" ht="12.75">
      <c r="D850" s="30"/>
      <c r="E850" s="30"/>
    </row>
    <row r="851" spans="4:5" ht="12.75">
      <c r="D851" s="30"/>
      <c r="E851" s="30"/>
    </row>
    <row r="852" spans="4:5" ht="12.75">
      <c r="D852" s="30"/>
      <c r="E852" s="30"/>
    </row>
    <row r="853" spans="4:5" ht="12.75">
      <c r="D853" s="30"/>
      <c r="E853" s="30"/>
    </row>
    <row r="854" spans="4:5" ht="12.75">
      <c r="D854" s="30"/>
      <c r="E854" s="30"/>
    </row>
    <row r="855" spans="4:5" ht="12.75">
      <c r="D855" s="30"/>
      <c r="E855" s="30"/>
    </row>
    <row r="856" spans="4:5" ht="12.75">
      <c r="D856" s="30"/>
      <c r="E856" s="30"/>
    </row>
    <row r="857" spans="4:5" ht="12.75">
      <c r="D857" s="30"/>
      <c r="E857" s="30"/>
    </row>
    <row r="858" spans="4:5" ht="12.75">
      <c r="D858" s="30"/>
      <c r="E858" s="30"/>
    </row>
    <row r="859" spans="4:5" ht="12.75">
      <c r="D859" s="30"/>
      <c r="E859" s="30"/>
    </row>
    <row r="860" spans="4:5" ht="12.75">
      <c r="D860" s="30"/>
      <c r="E860" s="30"/>
    </row>
    <row r="861" spans="4:5" ht="12.75">
      <c r="D861" s="30"/>
      <c r="E861" s="30"/>
    </row>
    <row r="862" spans="4:5" ht="12.75">
      <c r="D862" s="30"/>
      <c r="E862" s="30"/>
    </row>
    <row r="863" spans="4:5" ht="12.75">
      <c r="D863" s="30"/>
      <c r="E863" s="30"/>
    </row>
    <row r="864" spans="4:5" ht="12.75">
      <c r="D864" s="30"/>
      <c r="E864" s="30"/>
    </row>
    <row r="865" spans="4:5" ht="12.75">
      <c r="D865" s="30"/>
      <c r="E865" s="30"/>
    </row>
    <row r="866" spans="4:5" ht="12.75">
      <c r="D866" s="30"/>
      <c r="E866" s="30"/>
    </row>
    <row r="867" spans="4:5" ht="12.75">
      <c r="D867" s="30"/>
      <c r="E867" s="30"/>
    </row>
    <row r="868" spans="4:5" ht="12.75">
      <c r="D868" s="30"/>
      <c r="E868" s="30"/>
    </row>
    <row r="869" spans="4:5" ht="12.75">
      <c r="D869" s="30"/>
      <c r="E869" s="30"/>
    </row>
    <row r="870" spans="4:5" ht="12.75">
      <c r="D870" s="30"/>
      <c r="E870" s="30"/>
    </row>
    <row r="871" spans="4:5" ht="12.75">
      <c r="D871" s="30"/>
      <c r="E871" s="30"/>
    </row>
    <row r="872" spans="4:5" ht="12.75">
      <c r="D872" s="30"/>
      <c r="E872" s="30"/>
    </row>
    <row r="873" spans="4:5" ht="12.75">
      <c r="D873" s="30"/>
      <c r="E873" s="30"/>
    </row>
    <row r="874" spans="4:5" ht="12.75">
      <c r="D874" s="30"/>
      <c r="E874" s="30"/>
    </row>
    <row r="875" spans="4:5" ht="12.75">
      <c r="D875" s="30"/>
      <c r="E875" s="30"/>
    </row>
    <row r="876" spans="4:5" ht="12.75">
      <c r="D876" s="30"/>
      <c r="E876" s="30"/>
    </row>
    <row r="877" spans="4:5" ht="12.75">
      <c r="D877" s="30"/>
      <c r="E877" s="30"/>
    </row>
    <row r="878" spans="4:5" ht="12.75">
      <c r="D878" s="30"/>
      <c r="E878" s="30"/>
    </row>
    <row r="879" spans="4:5" ht="12.75">
      <c r="D879" s="30"/>
      <c r="E879" s="30"/>
    </row>
    <row r="880" spans="4:5" ht="12.75">
      <c r="D880" s="30"/>
      <c r="E880" s="30"/>
    </row>
    <row r="881" spans="4:5" ht="12.75">
      <c r="D881" s="30"/>
      <c r="E881" s="30"/>
    </row>
    <row r="882" spans="4:5" ht="12.75">
      <c r="D882" s="30"/>
      <c r="E882" s="30"/>
    </row>
    <row r="883" spans="4:5" ht="12.75">
      <c r="D883" s="30"/>
      <c r="E883" s="30"/>
    </row>
    <row r="884" spans="4:5" ht="12.75">
      <c r="D884" s="30"/>
      <c r="E884" s="30"/>
    </row>
    <row r="885" spans="4:5" ht="12.75">
      <c r="D885" s="30"/>
      <c r="E885" s="30"/>
    </row>
    <row r="886" spans="4:5" ht="12.75">
      <c r="D886" s="30"/>
      <c r="E886" s="30"/>
    </row>
    <row r="887" spans="4:5" ht="12.75">
      <c r="D887" s="30"/>
      <c r="E887" s="30"/>
    </row>
    <row r="888" spans="4:5" ht="12.75">
      <c r="D888" s="30"/>
      <c r="E888" s="30"/>
    </row>
    <row r="889" spans="4:5" ht="12.75">
      <c r="D889" s="30"/>
      <c r="E889" s="30"/>
    </row>
    <row r="890" spans="4:5" ht="12.75">
      <c r="D890" s="30"/>
      <c r="E890" s="30"/>
    </row>
    <row r="891" spans="4:5" ht="12.75">
      <c r="D891" s="30"/>
      <c r="E891" s="30"/>
    </row>
    <row r="892" spans="4:5" ht="12.75">
      <c r="D892" s="30"/>
      <c r="E892" s="30"/>
    </row>
    <row r="893" spans="4:5" ht="12.75">
      <c r="D893" s="30"/>
      <c r="E893" s="30"/>
    </row>
    <row r="894" spans="4:5" ht="12.75">
      <c r="D894" s="30"/>
      <c r="E894" s="30"/>
    </row>
    <row r="895" spans="4:5" ht="12.75">
      <c r="D895" s="30"/>
      <c r="E895" s="30"/>
    </row>
    <row r="896" spans="4:5" ht="12.75">
      <c r="D896" s="30"/>
      <c r="E896" s="30"/>
    </row>
    <row r="897" spans="4:5" ht="12.75">
      <c r="D897" s="30"/>
      <c r="E897" s="30"/>
    </row>
    <row r="898" spans="4:5" ht="12.75">
      <c r="D898" s="30"/>
      <c r="E898" s="30"/>
    </row>
    <row r="899" spans="4:5" ht="12.75">
      <c r="D899" s="30"/>
      <c r="E899" s="30"/>
    </row>
    <row r="900" spans="4:5" ht="12.75">
      <c r="D900" s="30"/>
      <c r="E900" s="30"/>
    </row>
    <row r="901" spans="4:5" ht="12.75">
      <c r="D901" s="30"/>
      <c r="E901" s="30"/>
    </row>
    <row r="902" spans="4:5" ht="12.75">
      <c r="D902" s="30"/>
      <c r="E902" s="30"/>
    </row>
    <row r="903" spans="4:5" ht="12.75">
      <c r="D903" s="30"/>
      <c r="E903" s="30"/>
    </row>
    <row r="904" spans="4:5" ht="12.75">
      <c r="D904" s="30"/>
      <c r="E904" s="30"/>
    </row>
    <row r="905" spans="4:5" ht="12.75">
      <c r="D905" s="30"/>
      <c r="E905" s="30"/>
    </row>
    <row r="906" spans="4:5" ht="12.75">
      <c r="D906" s="30"/>
      <c r="E906" s="30"/>
    </row>
    <row r="907" spans="4:5" ht="12.75">
      <c r="D907" s="30"/>
      <c r="E907" s="30"/>
    </row>
    <row r="908" spans="4:5" ht="12.75">
      <c r="D908" s="30"/>
      <c r="E908" s="30"/>
    </row>
    <row r="909" spans="4:5" ht="12.75">
      <c r="D909" s="30"/>
      <c r="E909" s="30"/>
    </row>
    <row r="910" spans="4:5" ht="12.75">
      <c r="D910" s="30"/>
      <c r="E910" s="30"/>
    </row>
    <row r="911" spans="4:5" ht="12.75">
      <c r="D911" s="30"/>
      <c r="E911" s="30"/>
    </row>
    <row r="912" spans="4:5" ht="12.75">
      <c r="D912" s="30"/>
      <c r="E912" s="30"/>
    </row>
    <row r="913" spans="4:5" ht="12.75">
      <c r="D913" s="30"/>
      <c r="E913" s="30"/>
    </row>
    <row r="914" spans="4:5" ht="12.75">
      <c r="D914" s="30"/>
      <c r="E914" s="30"/>
    </row>
    <row r="915" spans="4:5" ht="12.75">
      <c r="D915" s="30"/>
      <c r="E915" s="30"/>
    </row>
    <row r="916" spans="4:5" ht="12.75">
      <c r="D916" s="30"/>
      <c r="E916" s="30"/>
    </row>
    <row r="917" spans="4:5" ht="12.75">
      <c r="D917" s="30"/>
      <c r="E917" s="30"/>
    </row>
    <row r="918" spans="4:5" ht="12.75">
      <c r="D918" s="30"/>
      <c r="E918" s="30"/>
    </row>
    <row r="919" spans="4:5" ht="12.75">
      <c r="D919" s="30"/>
      <c r="E919" s="30"/>
    </row>
    <row r="920" spans="4:5" ht="12.75">
      <c r="D920" s="30"/>
      <c r="E920" s="30"/>
    </row>
    <row r="921" spans="4:5" ht="12.75">
      <c r="D921" s="30"/>
      <c r="E921" s="30"/>
    </row>
    <row r="922" spans="4:5" ht="12.75">
      <c r="D922" s="30"/>
      <c r="E922" s="30"/>
    </row>
    <row r="923" spans="4:5" ht="12.75">
      <c r="D923" s="30"/>
      <c r="E923" s="30"/>
    </row>
    <row r="924" spans="4:5" ht="12.75">
      <c r="D924" s="30"/>
      <c r="E924" s="30"/>
    </row>
    <row r="925" spans="4:5" ht="12.75">
      <c r="D925" s="30"/>
      <c r="E925" s="30"/>
    </row>
    <row r="926" spans="4:5" ht="12.75">
      <c r="D926" s="30"/>
      <c r="E926" s="30"/>
    </row>
    <row r="927" spans="4:5" ht="12.75">
      <c r="D927" s="30"/>
      <c r="E927" s="30"/>
    </row>
    <row r="928" spans="4:5" ht="12.75">
      <c r="D928" s="30"/>
      <c r="E928" s="30"/>
    </row>
    <row r="929" spans="4:5" ht="12.75">
      <c r="D929" s="30"/>
      <c r="E929" s="30"/>
    </row>
    <row r="930" spans="4:5" ht="12.75">
      <c r="D930" s="30"/>
      <c r="E930" s="30"/>
    </row>
    <row r="931" spans="4:5" ht="12.75">
      <c r="D931" s="30"/>
      <c r="E931" s="30"/>
    </row>
    <row r="932" spans="4:5" ht="12.75">
      <c r="D932" s="30"/>
      <c r="E932" s="30"/>
    </row>
    <row r="933" spans="4:5" ht="12.75">
      <c r="D933" s="30"/>
      <c r="E933" s="30"/>
    </row>
    <row r="934" spans="4:5" ht="12.75">
      <c r="D934" s="30"/>
      <c r="E934" s="30"/>
    </row>
    <row r="935" spans="4:5" ht="12.75">
      <c r="D935" s="30"/>
      <c r="E935" s="30"/>
    </row>
    <row r="936" spans="4:5" ht="12.75">
      <c r="D936" s="30"/>
      <c r="E936" s="30"/>
    </row>
    <row r="937" spans="4:5" ht="12.75">
      <c r="D937" s="30"/>
      <c r="E937" s="30"/>
    </row>
    <row r="938" spans="4:5" ht="12.75">
      <c r="D938" s="30"/>
      <c r="E938" s="30"/>
    </row>
    <row r="939" spans="4:5" ht="12.75">
      <c r="D939" s="30"/>
      <c r="E939" s="30"/>
    </row>
    <row r="940" spans="4:5" ht="12.75">
      <c r="D940" s="30"/>
      <c r="E940" s="30"/>
    </row>
    <row r="941" spans="4:5" ht="12.75">
      <c r="D941" s="30"/>
      <c r="E941" s="30"/>
    </row>
    <row r="942" spans="4:5" ht="12.75">
      <c r="D942" s="30"/>
      <c r="E942" s="30"/>
    </row>
    <row r="943" spans="4:5" ht="12.75">
      <c r="D943" s="30"/>
      <c r="E943" s="30"/>
    </row>
    <row r="944" spans="4:5" ht="12.75">
      <c r="D944" s="30"/>
      <c r="E944" s="30"/>
    </row>
    <row r="945" spans="4:5" ht="12.75">
      <c r="D945" s="30"/>
      <c r="E945" s="30"/>
    </row>
    <row r="946" spans="4:5" ht="12.75">
      <c r="D946" s="30"/>
      <c r="E946" s="30"/>
    </row>
    <row r="947" spans="4:5" ht="12.75">
      <c r="D947" s="30"/>
      <c r="E947" s="30"/>
    </row>
    <row r="948" spans="4:5" ht="12.75">
      <c r="D948" s="30"/>
      <c r="E948" s="30"/>
    </row>
    <row r="949" spans="4:5" ht="12.75">
      <c r="D949" s="30"/>
      <c r="E949" s="30"/>
    </row>
    <row r="950" spans="4:5" ht="12.75">
      <c r="D950" s="30"/>
      <c r="E950" s="30"/>
    </row>
    <row r="951" spans="4:5" ht="12.75">
      <c r="D951" s="30"/>
      <c r="E951" s="30"/>
    </row>
    <row r="952" spans="4:5" ht="12.75">
      <c r="D952" s="30"/>
      <c r="E952" s="30"/>
    </row>
    <row r="953" spans="4:5" ht="12.75">
      <c r="D953" s="30"/>
      <c r="E953" s="30"/>
    </row>
    <row r="954" spans="4:5" ht="12.75">
      <c r="D954" s="30"/>
      <c r="E954" s="30"/>
    </row>
    <row r="955" spans="4:5" ht="12.75">
      <c r="D955" s="30"/>
      <c r="E955" s="30"/>
    </row>
    <row r="956" spans="4:5" ht="12.75">
      <c r="D956" s="30"/>
      <c r="E956" s="30"/>
    </row>
    <row r="957" spans="4:5" ht="12.75">
      <c r="D957" s="30"/>
      <c r="E957" s="30"/>
    </row>
    <row r="958" spans="4:5" ht="12.75">
      <c r="D958" s="30"/>
      <c r="E958" s="30"/>
    </row>
    <row r="959" spans="4:5" ht="12.75">
      <c r="D959" s="30"/>
      <c r="E959" s="30"/>
    </row>
    <row r="960" spans="4:5" ht="12.75">
      <c r="D960" s="30"/>
      <c r="E960" s="30"/>
    </row>
    <row r="961" spans="4:5" ht="12.75">
      <c r="D961" s="30"/>
      <c r="E961" s="30"/>
    </row>
    <row r="962" spans="4:5" ht="12.75">
      <c r="D962" s="30"/>
      <c r="E962" s="30"/>
    </row>
    <row r="963" spans="4:5" ht="12.75">
      <c r="D963" s="30"/>
      <c r="E963" s="30"/>
    </row>
    <row r="964" spans="4:5" ht="12.75">
      <c r="D964" s="30"/>
      <c r="E964" s="30"/>
    </row>
    <row r="965" spans="4:5" ht="12.75">
      <c r="D965" s="30"/>
      <c r="E965" s="30"/>
    </row>
    <row r="966" spans="4:5" ht="12.75">
      <c r="D966" s="30"/>
      <c r="E966" s="30"/>
    </row>
    <row r="967" spans="4:5" ht="12.75">
      <c r="D967" s="30"/>
      <c r="E967" s="30"/>
    </row>
    <row r="968" spans="4:5" ht="12.75">
      <c r="D968" s="30"/>
      <c r="E968" s="30"/>
    </row>
    <row r="969" spans="4:5" ht="12.75">
      <c r="D969" s="30"/>
      <c r="E969" s="30"/>
    </row>
    <row r="970" spans="4:5" ht="12.75">
      <c r="D970" s="30"/>
      <c r="E970" s="30"/>
    </row>
    <row r="971" spans="4:5" ht="12.75">
      <c r="D971" s="30"/>
      <c r="E971" s="30"/>
    </row>
    <row r="972" spans="4:5" ht="12.75">
      <c r="D972" s="30"/>
      <c r="E972" s="30"/>
    </row>
    <row r="973" spans="4:5" ht="12.75">
      <c r="D973" s="30"/>
      <c r="E973" s="30"/>
    </row>
    <row r="974" spans="4:5" ht="12.75">
      <c r="D974" s="30"/>
      <c r="E974" s="30"/>
    </row>
    <row r="975" spans="4:5" ht="12.75">
      <c r="D975" s="30"/>
      <c r="E975" s="30"/>
    </row>
    <row r="976" spans="4:5" ht="12.75">
      <c r="D976" s="30"/>
      <c r="E976" s="30"/>
    </row>
    <row r="977" spans="4:5" ht="12.75">
      <c r="D977" s="30"/>
      <c r="E977" s="30"/>
    </row>
    <row r="978" spans="4:5" ht="12.75">
      <c r="D978" s="30"/>
      <c r="E978" s="30"/>
    </row>
    <row r="979" spans="4:5" ht="12.75">
      <c r="D979" s="30"/>
      <c r="E979" s="30"/>
    </row>
    <row r="980" spans="4:5" ht="12.75">
      <c r="D980" s="30"/>
      <c r="E980" s="30"/>
    </row>
    <row r="981" spans="4:5" ht="12.75">
      <c r="D981" s="30"/>
      <c r="E981" s="30"/>
    </row>
    <row r="982" spans="4:5" ht="12.75">
      <c r="D982" s="30"/>
      <c r="E982" s="30"/>
    </row>
    <row r="983" spans="4:5" ht="12.75">
      <c r="D983" s="30"/>
      <c r="E983" s="30"/>
    </row>
    <row r="984" spans="4:5" ht="12.75">
      <c r="D984" s="30"/>
      <c r="E984" s="30"/>
    </row>
    <row r="985" spans="4:5" ht="12.75">
      <c r="D985" s="30"/>
      <c r="E985" s="30"/>
    </row>
    <row r="986" spans="4:5" ht="12.75">
      <c r="D986" s="30"/>
      <c r="E986" s="30"/>
    </row>
    <row r="987" spans="4:5" ht="12.75">
      <c r="D987" s="30"/>
      <c r="E987" s="30"/>
    </row>
    <row r="988" spans="4:5" ht="12.75">
      <c r="D988" s="30"/>
      <c r="E988" s="30"/>
    </row>
    <row r="989" spans="4:5" ht="12.75">
      <c r="D989" s="30"/>
      <c r="E989" s="30"/>
    </row>
    <row r="990" spans="4:5" ht="12.75">
      <c r="D990" s="30"/>
      <c r="E990" s="30"/>
    </row>
    <row r="991" spans="4:5" ht="12.75">
      <c r="D991" s="30"/>
      <c r="E991" s="30"/>
    </row>
    <row r="992" spans="4:5" ht="12.75">
      <c r="D992" s="30"/>
      <c r="E992" s="30"/>
    </row>
    <row r="993" spans="4:5" ht="12.75">
      <c r="D993" s="30"/>
      <c r="E993" s="30"/>
    </row>
    <row r="994" spans="4:5" ht="12.75">
      <c r="D994" s="30"/>
      <c r="E994" s="30"/>
    </row>
    <row r="995" spans="4:5" ht="12.75">
      <c r="D995" s="30"/>
      <c r="E995" s="30"/>
    </row>
    <row r="996" spans="4:5" ht="12.75">
      <c r="D996" s="30"/>
      <c r="E996" s="30"/>
    </row>
    <row r="997" spans="4:5" ht="12.75">
      <c r="D997" s="30"/>
      <c r="E997" s="30"/>
    </row>
    <row r="998" spans="4:5" ht="12.75">
      <c r="D998" s="30"/>
      <c r="E998" s="30"/>
    </row>
    <row r="999" spans="4:5" ht="12.75">
      <c r="D999" s="30"/>
      <c r="E999" s="30"/>
    </row>
    <row r="1000" spans="4:5" ht="12.75">
      <c r="D1000" s="30"/>
      <c r="E1000" s="30"/>
    </row>
    <row r="1001" spans="4:5" ht="12.75">
      <c r="D1001" s="30"/>
      <c r="E1001" s="30"/>
    </row>
    <row r="1002" spans="4:5" ht="12.75">
      <c r="D1002" s="30"/>
      <c r="E1002" s="30"/>
    </row>
    <row r="1003" spans="4:5" ht="12.75">
      <c r="D1003" s="30"/>
      <c r="E1003" s="30"/>
    </row>
    <row r="1004" spans="4:5" ht="12.75">
      <c r="D1004" s="30"/>
      <c r="E1004" s="30"/>
    </row>
    <row r="1005" spans="4:5" ht="12.75">
      <c r="D1005" s="30"/>
      <c r="E1005" s="30"/>
    </row>
    <row r="1006" spans="4:5" ht="12.75">
      <c r="D1006" s="30"/>
      <c r="E1006" s="30"/>
    </row>
    <row r="1007" spans="4:5" ht="12.75">
      <c r="D1007" s="30"/>
      <c r="E1007" s="30"/>
    </row>
    <row r="1008" spans="4:5" ht="12.75">
      <c r="D1008" s="30"/>
      <c r="E1008" s="30"/>
    </row>
    <row r="1009" spans="4:5" ht="12.75">
      <c r="D1009" s="30"/>
      <c r="E1009" s="30"/>
    </row>
    <row r="1010" spans="4:5" ht="12.75">
      <c r="D1010" s="30"/>
      <c r="E1010" s="30"/>
    </row>
  </sheetData>
  <mergeCells count="57">
    <mergeCell ref="H250:I250"/>
    <mergeCell ref="F250:G250"/>
    <mergeCell ref="D250:E250"/>
    <mergeCell ref="B250:C250"/>
    <mergeCell ref="B234:C234"/>
    <mergeCell ref="D234:E234"/>
    <mergeCell ref="F234:G234"/>
    <mergeCell ref="H234:I234"/>
    <mergeCell ref="B179:C179"/>
    <mergeCell ref="D179:E179"/>
    <mergeCell ref="F179:G179"/>
    <mergeCell ref="H179:I179"/>
    <mergeCell ref="B163:C163"/>
    <mergeCell ref="D163:E163"/>
    <mergeCell ref="F163:G163"/>
    <mergeCell ref="H163:I163"/>
    <mergeCell ref="B113:C113"/>
    <mergeCell ref="D113:E113"/>
    <mergeCell ref="F113:G113"/>
    <mergeCell ref="H113:I113"/>
    <mergeCell ref="B97:C97"/>
    <mergeCell ref="D97:E97"/>
    <mergeCell ref="F97:G97"/>
    <mergeCell ref="H97:I97"/>
    <mergeCell ref="B75:C75"/>
    <mergeCell ref="D75:E75"/>
    <mergeCell ref="F75:G75"/>
    <mergeCell ref="H75:I75"/>
    <mergeCell ref="F42:G42"/>
    <mergeCell ref="H42:I42"/>
    <mergeCell ref="B59:C59"/>
    <mergeCell ref="D59:E59"/>
    <mergeCell ref="F59:G59"/>
    <mergeCell ref="H59:I59"/>
    <mergeCell ref="B42:C42"/>
    <mergeCell ref="B217:C217"/>
    <mergeCell ref="D217:E217"/>
    <mergeCell ref="F217:G217"/>
    <mergeCell ref="H217:I217"/>
    <mergeCell ref="B201:C201"/>
    <mergeCell ref="D201:E201"/>
    <mergeCell ref="F201:G201"/>
    <mergeCell ref="H201:I201"/>
    <mergeCell ref="B146:C146"/>
    <mergeCell ref="D146:E146"/>
    <mergeCell ref="F146:G146"/>
    <mergeCell ref="H146:I146"/>
    <mergeCell ref="A19:H19"/>
    <mergeCell ref="B130:C130"/>
    <mergeCell ref="D130:E130"/>
    <mergeCell ref="F130:G130"/>
    <mergeCell ref="H130:I130"/>
    <mergeCell ref="B26:C26"/>
    <mergeCell ref="D26:E26"/>
    <mergeCell ref="F26:G26"/>
    <mergeCell ref="H26:I26"/>
    <mergeCell ref="D42:E42"/>
  </mergeCells>
  <printOptions/>
  <pageMargins left="0.75" right="0.75" top="1" bottom="1" header="0.5" footer="0.5"/>
  <pageSetup horizontalDpi="600" verticalDpi="600" orientation="portrait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9"/>
  <sheetViews>
    <sheetView workbookViewId="0" topLeftCell="A1">
      <selection activeCell="J4" sqref="J4"/>
    </sheetView>
  </sheetViews>
  <sheetFormatPr defaultColWidth="9.140625" defaultRowHeight="12.75"/>
  <sheetData>
    <row r="1" spans="1:24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 t="s">
        <v>323</v>
      </c>
      <c r="M1" s="105"/>
      <c r="N1" s="105"/>
      <c r="O1" s="105"/>
      <c r="P1" s="105"/>
      <c r="Q1" s="105"/>
      <c r="R1" s="105"/>
      <c r="S1" s="105"/>
      <c r="T1" s="105"/>
      <c r="U1" s="105"/>
      <c r="V1" s="104"/>
      <c r="W1" s="104"/>
      <c r="X1" s="104"/>
    </row>
    <row r="2" spans="1:24" ht="12.75">
      <c r="A2" s="105" t="s">
        <v>322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>
        <v>1988</v>
      </c>
      <c r="N2" s="105">
        <v>1991</v>
      </c>
      <c r="O2" s="105">
        <v>1992</v>
      </c>
      <c r="P2" s="105">
        <v>1993</v>
      </c>
      <c r="Q2" s="105">
        <v>1994</v>
      </c>
      <c r="R2" s="105">
        <v>1995</v>
      </c>
      <c r="S2" s="105">
        <v>1996</v>
      </c>
      <c r="T2" s="105">
        <v>1997</v>
      </c>
      <c r="U2" s="105">
        <v>1998</v>
      </c>
      <c r="V2" s="104"/>
      <c r="W2" s="104"/>
      <c r="X2" s="104"/>
    </row>
    <row r="3" spans="1:24" ht="12.75">
      <c r="A3" s="105"/>
      <c r="B3" s="105">
        <v>1988</v>
      </c>
      <c r="C3" s="105">
        <v>1991</v>
      </c>
      <c r="D3" s="105">
        <v>1992</v>
      </c>
      <c r="E3" s="105">
        <v>1993</v>
      </c>
      <c r="F3" s="105">
        <v>1994</v>
      </c>
      <c r="G3" s="105">
        <v>1995</v>
      </c>
      <c r="H3" s="105">
        <v>1996</v>
      </c>
      <c r="I3" s="105">
        <v>1997</v>
      </c>
      <c r="J3" s="105">
        <v>1998</v>
      </c>
      <c r="K3" s="105"/>
      <c r="L3" s="105" t="s">
        <v>303</v>
      </c>
      <c r="M3" s="107">
        <f aca="true" t="shared" si="0" ref="M3:U3">LN(B5)</f>
        <v>2.011086222015564</v>
      </c>
      <c r="N3" s="107">
        <f t="shared" si="0"/>
        <v>3.054944133185837</v>
      </c>
      <c r="O3" s="107">
        <f t="shared" si="0"/>
        <v>2.944965156500338</v>
      </c>
      <c r="P3" s="107">
        <f t="shared" si="0"/>
        <v>2.186051276738094</v>
      </c>
      <c r="Q3" s="107">
        <f t="shared" si="0"/>
        <v>3.0170044088295307</v>
      </c>
      <c r="R3" s="107">
        <f t="shared" si="0"/>
        <v>1.6272778305624314</v>
      </c>
      <c r="S3" s="107">
        <f t="shared" si="0"/>
        <v>1.3609765531356006</v>
      </c>
      <c r="T3" s="107">
        <f t="shared" si="0"/>
        <v>0.8329091229351039</v>
      </c>
      <c r="U3" s="107" t="e">
        <f t="shared" si="0"/>
        <v>#NUM!</v>
      </c>
      <c r="V3" s="104"/>
      <c r="W3" s="104"/>
      <c r="X3" s="104"/>
    </row>
    <row r="4" spans="1:24" ht="12.75">
      <c r="A4" s="105" t="s">
        <v>178</v>
      </c>
      <c r="B4" s="107">
        <f>1162/7</f>
        <v>166</v>
      </c>
      <c r="C4" s="105">
        <v>184.16</v>
      </c>
      <c r="D4" s="105">
        <v>162.26</v>
      </c>
      <c r="E4" s="105">
        <v>167.91</v>
      </c>
      <c r="F4" s="105">
        <v>87.03</v>
      </c>
      <c r="G4" s="105">
        <v>40.91</v>
      </c>
      <c r="H4" s="105">
        <v>34</v>
      </c>
      <c r="I4" s="105">
        <v>13</v>
      </c>
      <c r="J4" s="105"/>
      <c r="K4" s="105"/>
      <c r="L4" s="105"/>
      <c r="M4" s="107">
        <f aca="true" t="shared" si="1" ref="M4:U4">20+(14.42*M3)</f>
        <v>48.99986332146443</v>
      </c>
      <c r="N4" s="107">
        <f t="shared" si="1"/>
        <v>64.05229440053976</v>
      </c>
      <c r="O4" s="107">
        <f t="shared" si="1"/>
        <v>62.46639755673487</v>
      </c>
      <c r="P4" s="107">
        <f t="shared" si="1"/>
        <v>51.52285941056331</v>
      </c>
      <c r="Q4" s="107">
        <f t="shared" si="1"/>
        <v>63.50520357532183</v>
      </c>
      <c r="R4" s="107">
        <f t="shared" si="1"/>
        <v>43.46534631671026</v>
      </c>
      <c r="S4" s="107">
        <f t="shared" si="1"/>
        <v>39.62528189621536</v>
      </c>
      <c r="T4" s="107">
        <f t="shared" si="1"/>
        <v>32.0105495527242</v>
      </c>
      <c r="U4" s="107" t="e">
        <f t="shared" si="1"/>
        <v>#NUM!</v>
      </c>
      <c r="V4" s="104"/>
      <c r="W4" s="104"/>
      <c r="X4" s="104"/>
    </row>
    <row r="5" spans="1:24" ht="12.75">
      <c r="A5" s="105" t="s">
        <v>310</v>
      </c>
      <c r="B5" s="107">
        <f>52.3/7</f>
        <v>7.471428571428572</v>
      </c>
      <c r="C5" s="105">
        <v>21.22</v>
      </c>
      <c r="D5" s="105">
        <v>19.01</v>
      </c>
      <c r="E5" s="105">
        <v>8.9</v>
      </c>
      <c r="F5" s="105">
        <v>20.43</v>
      </c>
      <c r="G5" s="105">
        <v>5.09</v>
      </c>
      <c r="H5" s="105">
        <v>3.9</v>
      </c>
      <c r="I5" s="105">
        <v>2.3</v>
      </c>
      <c r="J5" s="105"/>
      <c r="K5" s="105"/>
      <c r="L5" s="105"/>
      <c r="M5" s="107"/>
      <c r="N5" s="107"/>
      <c r="O5" s="107"/>
      <c r="P5" s="107"/>
      <c r="Q5" s="107"/>
      <c r="R5" s="107"/>
      <c r="S5" s="105"/>
      <c r="T5" s="105"/>
      <c r="U5" s="105"/>
      <c r="V5" s="104"/>
      <c r="W5" s="104"/>
      <c r="X5" s="104"/>
    </row>
    <row r="6" spans="1:24" ht="12.75">
      <c r="A6" s="105" t="s">
        <v>31</v>
      </c>
      <c r="B6" s="105">
        <f>6.5/4</f>
        <v>1.625</v>
      </c>
      <c r="C6" s="105">
        <v>2.17</v>
      </c>
      <c r="D6" s="105">
        <v>2.1</v>
      </c>
      <c r="E6" s="105">
        <v>2.84</v>
      </c>
      <c r="F6" s="105">
        <v>1.79</v>
      </c>
      <c r="G6" s="105">
        <v>2.14</v>
      </c>
      <c r="H6" s="105">
        <v>4.86</v>
      </c>
      <c r="I6" s="105">
        <v>3.1</v>
      </c>
      <c r="J6" s="105"/>
      <c r="K6" s="105"/>
      <c r="L6" s="105" t="s">
        <v>302</v>
      </c>
      <c r="M6" s="107">
        <f aca="true" t="shared" si="2" ref="M6:U6">LN(B4)</f>
        <v>5.111987788356544</v>
      </c>
      <c r="N6" s="107">
        <f t="shared" si="2"/>
        <v>5.215804944973573</v>
      </c>
      <c r="O6" s="107">
        <f t="shared" si="2"/>
        <v>5.089199986966919</v>
      </c>
      <c r="P6" s="107">
        <f t="shared" si="2"/>
        <v>5.1234281215713775</v>
      </c>
      <c r="Q6" s="107">
        <f t="shared" si="2"/>
        <v>4.466252886801422</v>
      </c>
      <c r="R6" s="107">
        <f t="shared" si="2"/>
        <v>3.711374531941307</v>
      </c>
      <c r="S6" s="107">
        <f t="shared" si="2"/>
        <v>3.5263605246161616</v>
      </c>
      <c r="T6" s="107">
        <f t="shared" si="2"/>
        <v>2.5649493574615367</v>
      </c>
      <c r="U6" s="107" t="e">
        <f t="shared" si="2"/>
        <v>#NUM!</v>
      </c>
      <c r="V6" s="105" t="s">
        <v>321</v>
      </c>
      <c r="W6" s="105" t="s">
        <v>320</v>
      </c>
      <c r="X6" s="104"/>
    </row>
    <row r="7" spans="1:24" ht="12.75">
      <c r="A7" s="104"/>
      <c r="B7" s="104"/>
      <c r="C7" s="104"/>
      <c r="D7" s="104"/>
      <c r="E7" s="104"/>
      <c r="F7" s="104"/>
      <c r="G7" s="104"/>
      <c r="H7" s="104"/>
      <c r="I7" s="104"/>
      <c r="J7" s="105"/>
      <c r="K7" s="105"/>
      <c r="L7" s="105"/>
      <c r="M7" s="107">
        <f aca="true" t="shared" si="3" ref="M7:U7">(20.02*M6)</f>
        <v>102.341995522898</v>
      </c>
      <c r="N7" s="107">
        <f t="shared" si="3"/>
        <v>104.42041499837092</v>
      </c>
      <c r="O7" s="107">
        <f t="shared" si="3"/>
        <v>101.88578373907771</v>
      </c>
      <c r="P7" s="107">
        <f t="shared" si="3"/>
        <v>102.57103099385897</v>
      </c>
      <c r="Q7" s="107">
        <f t="shared" si="3"/>
        <v>89.41438279376447</v>
      </c>
      <c r="R7" s="107">
        <f t="shared" si="3"/>
        <v>74.30171812946497</v>
      </c>
      <c r="S7" s="107">
        <f t="shared" si="3"/>
        <v>70.59773770281555</v>
      </c>
      <c r="T7" s="107">
        <f t="shared" si="3"/>
        <v>51.350286136379964</v>
      </c>
      <c r="U7" s="107" t="e">
        <f t="shared" si="3"/>
        <v>#NUM!</v>
      </c>
      <c r="V7" s="105" t="s">
        <v>319</v>
      </c>
      <c r="W7" s="105" t="s">
        <v>318</v>
      </c>
      <c r="X7" s="104"/>
    </row>
    <row r="8" spans="1:24" ht="12.75">
      <c r="A8" s="105" t="s">
        <v>317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7"/>
      <c r="O8" s="107"/>
      <c r="P8" s="107"/>
      <c r="Q8" s="107"/>
      <c r="R8" s="107"/>
      <c r="S8" s="105"/>
      <c r="T8" s="104"/>
      <c r="U8" s="104"/>
      <c r="V8" s="105" t="s">
        <v>316</v>
      </c>
      <c r="W8" s="105" t="s">
        <v>315</v>
      </c>
      <c r="X8" s="104"/>
    </row>
    <row r="9" spans="1:24" ht="12.75">
      <c r="A9" s="105"/>
      <c r="B9" s="105"/>
      <c r="C9" s="105">
        <v>1991</v>
      </c>
      <c r="D9" s="105">
        <v>1992</v>
      </c>
      <c r="E9" s="105">
        <v>1993</v>
      </c>
      <c r="F9" s="105">
        <v>1994</v>
      </c>
      <c r="G9" s="105">
        <v>1995</v>
      </c>
      <c r="H9" s="105">
        <v>1996</v>
      </c>
      <c r="I9" s="105">
        <v>1997</v>
      </c>
      <c r="J9" s="105">
        <v>1998</v>
      </c>
      <c r="K9" s="105"/>
      <c r="L9" s="105" t="s">
        <v>301</v>
      </c>
      <c r="M9" s="107">
        <f aca="true" t="shared" si="4" ref="M9:U9">LN(1/B6-0.08)</f>
        <v>-0.6247698831152083</v>
      </c>
      <c r="N9" s="107">
        <f t="shared" si="4"/>
        <v>-0.9654035287290765</v>
      </c>
      <c r="O9" s="107">
        <f t="shared" si="4"/>
        <v>-0.9258601828903059</v>
      </c>
      <c r="P9" s="107">
        <f t="shared" si="4"/>
        <v>-1.3015390482569433</v>
      </c>
      <c r="Q9" s="107">
        <f t="shared" si="4"/>
        <v>-0.7367663797012618</v>
      </c>
      <c r="R9" s="107">
        <f t="shared" si="4"/>
        <v>-0.9485822365106786</v>
      </c>
      <c r="S9" s="107">
        <f t="shared" si="4"/>
        <v>-2.0733694790422286</v>
      </c>
      <c r="T9" s="107">
        <f t="shared" si="4"/>
        <v>-1.4164210665233978</v>
      </c>
      <c r="U9" s="107" t="e">
        <f t="shared" si="4"/>
        <v>#DIV/0!</v>
      </c>
      <c r="V9" s="105" t="s">
        <v>314</v>
      </c>
      <c r="W9" s="105" t="s">
        <v>313</v>
      </c>
      <c r="X9" s="104"/>
    </row>
    <row r="10" spans="1:24" ht="12.75">
      <c r="A10" s="105" t="s">
        <v>178</v>
      </c>
      <c r="B10" s="105"/>
      <c r="C10" s="105">
        <v>191.83</v>
      </c>
      <c r="D10" s="105">
        <v>181.66</v>
      </c>
      <c r="E10" s="105">
        <v>206.9</v>
      </c>
      <c r="F10" s="105">
        <v>92.27</v>
      </c>
      <c r="G10" s="105">
        <v>58.4</v>
      </c>
      <c r="H10" s="110">
        <v>37.64705882352942</v>
      </c>
      <c r="I10" s="110">
        <v>14.392857</v>
      </c>
      <c r="J10" s="110"/>
      <c r="K10" s="105"/>
      <c r="L10" s="105"/>
      <c r="M10" s="107">
        <f aca="true" t="shared" si="5" ref="M10:U10">75.3+(19.46*M9)</f>
        <v>63.14197807457804</v>
      </c>
      <c r="N10" s="107">
        <f t="shared" si="5"/>
        <v>56.51324733093217</v>
      </c>
      <c r="O10" s="107">
        <f t="shared" si="5"/>
        <v>57.282760840954644</v>
      </c>
      <c r="P10" s="107">
        <f t="shared" si="5"/>
        <v>49.972050120919874</v>
      </c>
      <c r="Q10" s="107">
        <f t="shared" si="5"/>
        <v>60.96252625101344</v>
      </c>
      <c r="R10" s="107">
        <f t="shared" si="5"/>
        <v>56.840589677502194</v>
      </c>
      <c r="S10" s="107">
        <f t="shared" si="5"/>
        <v>34.952229937838226</v>
      </c>
      <c r="T10" s="107">
        <f t="shared" si="5"/>
        <v>47.73644604545467</v>
      </c>
      <c r="U10" s="107" t="e">
        <f t="shared" si="5"/>
        <v>#DIV/0!</v>
      </c>
      <c r="V10" s="105" t="s">
        <v>312</v>
      </c>
      <c r="W10" s="105" t="s">
        <v>311</v>
      </c>
      <c r="X10" s="104"/>
    </row>
    <row r="11" spans="1:24" ht="12.75">
      <c r="A11" s="105" t="s">
        <v>310</v>
      </c>
      <c r="B11" s="105"/>
      <c r="C11" s="105">
        <v>3.99</v>
      </c>
      <c r="D11" s="105">
        <v>11.78</v>
      </c>
      <c r="E11" s="105">
        <v>14.4</v>
      </c>
      <c r="F11" s="105">
        <v>26.4</v>
      </c>
      <c r="G11" s="105">
        <v>10.96</v>
      </c>
      <c r="H11" s="105">
        <v>3.31</v>
      </c>
      <c r="I11" s="105">
        <v>2.322</v>
      </c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4"/>
      <c r="U11" s="104"/>
      <c r="V11" s="105" t="s">
        <v>309</v>
      </c>
      <c r="W11" s="105" t="s">
        <v>308</v>
      </c>
      <c r="X11" s="104"/>
    </row>
    <row r="12" spans="1:24" ht="12.75">
      <c r="A12" s="105" t="s">
        <v>31</v>
      </c>
      <c r="B12" s="105"/>
      <c r="C12" s="105">
        <v>2.03</v>
      </c>
      <c r="D12" s="105">
        <v>2.12</v>
      </c>
      <c r="E12" s="105">
        <v>2.23</v>
      </c>
      <c r="F12" s="105">
        <v>1.7</v>
      </c>
      <c r="G12" s="105">
        <v>1.24</v>
      </c>
      <c r="H12" s="105">
        <v>6</v>
      </c>
      <c r="I12" s="105">
        <v>3.3</v>
      </c>
      <c r="J12" s="105"/>
      <c r="K12" s="105"/>
      <c r="L12" s="105" t="s">
        <v>300</v>
      </c>
      <c r="M12" s="108">
        <f aca="true" t="shared" si="6" ref="M12:T12">(M10+M7+M4)/3</f>
        <v>71.4946123063135</v>
      </c>
      <c r="N12" s="108">
        <f t="shared" si="6"/>
        <v>74.99531890994761</v>
      </c>
      <c r="O12" s="108">
        <f t="shared" si="6"/>
        <v>73.87831404558908</v>
      </c>
      <c r="P12" s="108">
        <f t="shared" si="6"/>
        <v>68.02198017511405</v>
      </c>
      <c r="Q12" s="108">
        <f t="shared" si="6"/>
        <v>71.29403754003324</v>
      </c>
      <c r="R12" s="108">
        <f t="shared" si="6"/>
        <v>58.202551374559135</v>
      </c>
      <c r="S12" s="108">
        <f t="shared" si="6"/>
        <v>48.391749845623046</v>
      </c>
      <c r="T12" s="108">
        <f t="shared" si="6"/>
        <v>43.69909391151961</v>
      </c>
      <c r="U12" s="105"/>
      <c r="V12" s="104"/>
      <c r="W12" s="104"/>
      <c r="X12" s="104"/>
    </row>
    <row r="13" spans="1:24" ht="12.75">
      <c r="A13" s="104"/>
      <c r="B13" s="104"/>
      <c r="C13" s="104"/>
      <c r="D13" s="104"/>
      <c r="E13" s="104"/>
      <c r="F13" s="104"/>
      <c r="G13" s="104"/>
      <c r="H13" s="104"/>
      <c r="I13" s="104"/>
      <c r="J13" s="105"/>
      <c r="K13" s="105"/>
      <c r="L13" s="105"/>
      <c r="M13" s="105"/>
      <c r="N13" s="105" t="s">
        <v>307</v>
      </c>
      <c r="O13" s="105" t="s">
        <v>307</v>
      </c>
      <c r="P13" s="105" t="s">
        <v>307</v>
      </c>
      <c r="Q13" s="105" t="s">
        <v>307</v>
      </c>
      <c r="R13" s="105" t="s">
        <v>306</v>
      </c>
      <c r="S13" s="105" t="s">
        <v>297</v>
      </c>
      <c r="T13" s="105" t="s">
        <v>106</v>
      </c>
      <c r="U13" s="105"/>
      <c r="V13" s="104"/>
      <c r="W13" s="104"/>
      <c r="X13" s="104"/>
    </row>
    <row r="14" spans="1:24" ht="12.75">
      <c r="A14" s="104"/>
      <c r="B14" s="104"/>
      <c r="C14" s="104"/>
      <c r="D14" s="104"/>
      <c r="E14" s="104"/>
      <c r="F14" s="104"/>
      <c r="G14" s="104"/>
      <c r="H14" s="104"/>
      <c r="I14" s="104"/>
      <c r="J14" s="105"/>
      <c r="K14" s="105"/>
      <c r="L14" s="105"/>
      <c r="M14" s="105"/>
      <c r="N14" s="107"/>
      <c r="O14" s="107"/>
      <c r="P14" s="107"/>
      <c r="Q14" s="107"/>
      <c r="R14" s="107"/>
      <c r="S14" s="105"/>
      <c r="T14" s="105"/>
      <c r="U14" s="105"/>
      <c r="V14" s="104"/>
      <c r="W14" s="104"/>
      <c r="X14" s="104"/>
    </row>
    <row r="15" spans="1:24" ht="12.75">
      <c r="A15" s="104"/>
      <c r="B15" s="104"/>
      <c r="C15" s="104"/>
      <c r="D15" s="104"/>
      <c r="E15" s="104"/>
      <c r="F15" s="104"/>
      <c r="G15" s="104"/>
      <c r="H15" s="105"/>
      <c r="I15" s="105"/>
      <c r="J15" s="105"/>
      <c r="K15" s="105"/>
      <c r="L15" s="105" t="s">
        <v>305</v>
      </c>
      <c r="M15" s="105"/>
      <c r="N15" s="107"/>
      <c r="O15" s="107"/>
      <c r="P15" s="107"/>
      <c r="Q15" s="107"/>
      <c r="R15" s="107"/>
      <c r="S15" s="105"/>
      <c r="T15" s="105"/>
      <c r="U15" s="105"/>
      <c r="V15" s="104"/>
      <c r="W15" s="104"/>
      <c r="X15" s="104"/>
    </row>
    <row r="16" spans="1:24" ht="12.75">
      <c r="A16" s="105" t="s">
        <v>304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>
        <v>1988</v>
      </c>
      <c r="N16" s="109">
        <v>1991</v>
      </c>
      <c r="O16" s="109">
        <v>1992</v>
      </c>
      <c r="P16" s="109">
        <v>1993</v>
      </c>
      <c r="Q16" s="109">
        <v>1994</v>
      </c>
      <c r="R16" s="109">
        <v>1995</v>
      </c>
      <c r="S16" s="105">
        <v>1996</v>
      </c>
      <c r="T16" s="105">
        <v>1997</v>
      </c>
      <c r="U16" s="105">
        <v>1998</v>
      </c>
      <c r="V16" s="104"/>
      <c r="W16" s="104"/>
      <c r="X16" s="104"/>
    </row>
    <row r="17" spans="1:24" ht="12.75">
      <c r="A17" s="105"/>
      <c r="B17" s="105">
        <v>1988</v>
      </c>
      <c r="C17" s="105">
        <v>1991</v>
      </c>
      <c r="D17" s="105">
        <v>1992</v>
      </c>
      <c r="E17" s="105">
        <v>1993</v>
      </c>
      <c r="F17" s="105">
        <v>1994</v>
      </c>
      <c r="G17" s="105">
        <v>1995</v>
      </c>
      <c r="H17" s="105">
        <v>1996</v>
      </c>
      <c r="I17" s="105">
        <v>1997</v>
      </c>
      <c r="J17" s="105">
        <v>1998</v>
      </c>
      <c r="K17" s="105"/>
      <c r="L17" s="105" t="s">
        <v>303</v>
      </c>
      <c r="M17" s="105"/>
      <c r="N17" s="107">
        <f aca="true" t="shared" si="7" ref="N17:U17">LN(C11)</f>
        <v>1.3837912309017721</v>
      </c>
      <c r="O17" s="107">
        <f t="shared" si="7"/>
        <v>2.4664031782234406</v>
      </c>
      <c r="P17" s="107">
        <f t="shared" si="7"/>
        <v>2.667228206581955</v>
      </c>
      <c r="Q17" s="107">
        <f t="shared" si="7"/>
        <v>3.2733640101522705</v>
      </c>
      <c r="R17" s="107">
        <f t="shared" si="7"/>
        <v>2.3942522815198695</v>
      </c>
      <c r="S17" s="107">
        <f t="shared" si="7"/>
        <v>1.1969481893889715</v>
      </c>
      <c r="T17" s="107">
        <f t="shared" si="7"/>
        <v>0.8424288832756998</v>
      </c>
      <c r="U17" s="107" t="e">
        <f t="shared" si="7"/>
        <v>#NUM!</v>
      </c>
      <c r="V17" s="104"/>
      <c r="W17" s="104"/>
      <c r="X17" s="104"/>
    </row>
    <row r="18" spans="1:24" ht="12.75">
      <c r="A18" s="105" t="s">
        <v>296</v>
      </c>
      <c r="B18" s="107">
        <f aca="true" t="shared" si="8" ref="B18:I18">LN(B6)</f>
        <v>0.4855078157817008</v>
      </c>
      <c r="C18" s="107">
        <f t="shared" si="8"/>
        <v>0.7747271675523681</v>
      </c>
      <c r="D18" s="107">
        <f t="shared" si="8"/>
        <v>0.7419373447293773</v>
      </c>
      <c r="E18" s="107">
        <f t="shared" si="8"/>
        <v>1.0438040521731147</v>
      </c>
      <c r="F18" s="107">
        <f t="shared" si="8"/>
        <v>0.5822156198526637</v>
      </c>
      <c r="G18" s="107">
        <f t="shared" si="8"/>
        <v>0.7608058290337602</v>
      </c>
      <c r="H18" s="107">
        <f t="shared" si="8"/>
        <v>1.5810384379124025</v>
      </c>
      <c r="I18" s="107">
        <f t="shared" si="8"/>
        <v>1.1314021114911006</v>
      </c>
      <c r="J18" s="107" t="e">
        <f>LN(J6)</f>
        <v>#NUM!</v>
      </c>
      <c r="K18" s="105"/>
      <c r="L18" s="105"/>
      <c r="M18" s="105"/>
      <c r="N18" s="107">
        <f aca="true" t="shared" si="9" ref="N18:U18">20+(14.42*N17)</f>
        <v>39.95426954960355</v>
      </c>
      <c r="O18" s="107">
        <f t="shared" si="9"/>
        <v>55.565533829982016</v>
      </c>
      <c r="P18" s="107">
        <f t="shared" si="9"/>
        <v>58.46143073891179</v>
      </c>
      <c r="Q18" s="107">
        <f t="shared" si="9"/>
        <v>67.20190902639574</v>
      </c>
      <c r="R18" s="107">
        <f t="shared" si="9"/>
        <v>54.525117899516516</v>
      </c>
      <c r="S18" s="107">
        <f t="shared" si="9"/>
        <v>37.25999289098897</v>
      </c>
      <c r="T18" s="107">
        <f t="shared" si="9"/>
        <v>32.14782449683559</v>
      </c>
      <c r="U18" s="107" t="e">
        <f t="shared" si="9"/>
        <v>#NUM!</v>
      </c>
      <c r="V18" s="104"/>
      <c r="W18" s="104"/>
      <c r="X18" s="104"/>
    </row>
    <row r="19" spans="1:24" ht="12.75">
      <c r="A19" s="105"/>
      <c r="B19" s="107">
        <f aca="true" t="shared" si="10" ref="B19:J19">60-(14.41*B18)</f>
        <v>53.00383237458569</v>
      </c>
      <c r="C19" s="107">
        <f t="shared" si="10"/>
        <v>48.836181515570374</v>
      </c>
      <c r="D19" s="107">
        <f t="shared" si="10"/>
        <v>49.30868286244967</v>
      </c>
      <c r="E19" s="107">
        <f t="shared" si="10"/>
        <v>44.95878360818541</v>
      </c>
      <c r="F19" s="107">
        <f t="shared" si="10"/>
        <v>51.61027291792311</v>
      </c>
      <c r="G19" s="107">
        <f t="shared" si="10"/>
        <v>49.03678800362351</v>
      </c>
      <c r="H19" s="107">
        <f t="shared" si="10"/>
        <v>37.217236109682275</v>
      </c>
      <c r="I19" s="107">
        <f t="shared" si="10"/>
        <v>43.696495573413245</v>
      </c>
      <c r="J19" s="107" t="e">
        <f t="shared" si="10"/>
        <v>#NUM!</v>
      </c>
      <c r="K19" s="105"/>
      <c r="L19" s="105"/>
      <c r="M19" s="105"/>
      <c r="N19" s="107"/>
      <c r="O19" s="107"/>
      <c r="P19" s="107"/>
      <c r="Q19" s="107"/>
      <c r="R19" s="107"/>
      <c r="S19" s="107"/>
      <c r="T19" s="107"/>
      <c r="U19" s="107"/>
      <c r="V19" s="104"/>
      <c r="W19" s="104"/>
      <c r="X19" s="104"/>
    </row>
    <row r="20" spans="1:24" ht="12.7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 t="s">
        <v>302</v>
      </c>
      <c r="M20" s="105"/>
      <c r="N20" s="107">
        <f aca="true" t="shared" si="11" ref="N20:U20">LN(C10)</f>
        <v>5.256609563148246</v>
      </c>
      <c r="O20" s="107">
        <f t="shared" si="11"/>
        <v>5.2021368080740675</v>
      </c>
      <c r="P20" s="107">
        <f t="shared" si="11"/>
        <v>5.332235584751498</v>
      </c>
      <c r="Q20" s="107">
        <f t="shared" si="11"/>
        <v>4.524719061590464</v>
      </c>
      <c r="R20" s="107">
        <f t="shared" si="11"/>
        <v>4.067315889834181</v>
      </c>
      <c r="S20" s="107">
        <f t="shared" si="11"/>
        <v>3.6282548322975017</v>
      </c>
      <c r="T20" s="107">
        <f t="shared" si="11"/>
        <v>2.6667320418459206</v>
      </c>
      <c r="U20" s="107" t="e">
        <f t="shared" si="11"/>
        <v>#NUM!</v>
      </c>
      <c r="V20" s="104"/>
      <c r="W20" s="104"/>
      <c r="X20" s="104"/>
    </row>
    <row r="21" spans="1:24" ht="12.75">
      <c r="A21" s="105" t="s">
        <v>295</v>
      </c>
      <c r="B21" s="107">
        <f aca="true" t="shared" si="12" ref="B21:I21">LN(B5)</f>
        <v>2.011086222015564</v>
      </c>
      <c r="C21" s="107">
        <f t="shared" si="12"/>
        <v>3.054944133185837</v>
      </c>
      <c r="D21" s="107">
        <f t="shared" si="12"/>
        <v>2.944965156500338</v>
      </c>
      <c r="E21" s="107">
        <f t="shared" si="12"/>
        <v>2.186051276738094</v>
      </c>
      <c r="F21" s="107">
        <f t="shared" si="12"/>
        <v>3.0170044088295307</v>
      </c>
      <c r="G21" s="107">
        <f t="shared" si="12"/>
        <v>1.6272778305624314</v>
      </c>
      <c r="H21" s="107">
        <f t="shared" si="12"/>
        <v>1.3609765531356006</v>
      </c>
      <c r="I21" s="107">
        <f t="shared" si="12"/>
        <v>0.8329091229351039</v>
      </c>
      <c r="J21" s="107" t="e">
        <f>LN(J5)</f>
        <v>#NUM!</v>
      </c>
      <c r="K21" s="105"/>
      <c r="L21" s="105"/>
      <c r="M21" s="105"/>
      <c r="N21" s="107">
        <f aca="true" t="shared" si="13" ref="N21:U21">(20.02*N20)</f>
        <v>105.23732345422789</v>
      </c>
      <c r="O21" s="107">
        <f t="shared" si="13"/>
        <v>104.14677889764283</v>
      </c>
      <c r="P21" s="107">
        <f t="shared" si="13"/>
        <v>106.75135640672498</v>
      </c>
      <c r="Q21" s="107">
        <f t="shared" si="13"/>
        <v>90.58487561304109</v>
      </c>
      <c r="R21" s="107">
        <f t="shared" si="13"/>
        <v>81.42766411448031</v>
      </c>
      <c r="S21" s="107">
        <f t="shared" si="13"/>
        <v>72.63766174259598</v>
      </c>
      <c r="T21" s="107">
        <f t="shared" si="13"/>
        <v>53.387975477755326</v>
      </c>
      <c r="U21" s="107" t="e">
        <f t="shared" si="13"/>
        <v>#NUM!</v>
      </c>
      <c r="V21" s="104"/>
      <c r="W21" s="104"/>
      <c r="X21" s="104"/>
    </row>
    <row r="22" spans="1:24" ht="12.75">
      <c r="A22" s="105"/>
      <c r="B22" s="107">
        <f aca="true" t="shared" si="14" ref="B22:J22">(9.81*B21)+30.6</f>
        <v>50.32875583797268</v>
      </c>
      <c r="C22" s="107">
        <f t="shared" si="14"/>
        <v>60.56900194655306</v>
      </c>
      <c r="D22" s="107">
        <f t="shared" si="14"/>
        <v>59.49010818526831</v>
      </c>
      <c r="E22" s="107">
        <f t="shared" si="14"/>
        <v>52.04516302480071</v>
      </c>
      <c r="F22" s="107">
        <f t="shared" si="14"/>
        <v>60.196813250617694</v>
      </c>
      <c r="G22" s="107">
        <f t="shared" si="14"/>
        <v>46.563595517817454</v>
      </c>
      <c r="H22" s="107">
        <f t="shared" si="14"/>
        <v>43.95117998626024</v>
      </c>
      <c r="I22" s="107">
        <f t="shared" si="14"/>
        <v>38.770838495993374</v>
      </c>
      <c r="J22" s="107" t="e">
        <f t="shared" si="14"/>
        <v>#NUM!</v>
      </c>
      <c r="K22" s="105"/>
      <c r="L22" s="105"/>
      <c r="M22" s="105"/>
      <c r="N22" s="107"/>
      <c r="O22" s="107"/>
      <c r="P22" s="107"/>
      <c r="Q22" s="107"/>
      <c r="R22" s="107"/>
      <c r="S22" s="107"/>
      <c r="T22" s="107"/>
      <c r="U22" s="107"/>
      <c r="V22" s="104"/>
      <c r="W22" s="104"/>
      <c r="X22" s="104"/>
    </row>
    <row r="23" spans="1:24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5"/>
      <c r="L23" s="105" t="s">
        <v>301</v>
      </c>
      <c r="M23" s="105"/>
      <c r="N23" s="107">
        <f aca="true" t="shared" si="15" ref="N23:U23">LN(1/C12-0.08)</f>
        <v>-0.8852504124795058</v>
      </c>
      <c r="O23" s="107">
        <f t="shared" si="15"/>
        <v>-0.9372638552544341</v>
      </c>
      <c r="P23" s="107">
        <f t="shared" si="15"/>
        <v>-0.998503205839816</v>
      </c>
      <c r="Q23" s="107">
        <f t="shared" si="15"/>
        <v>-0.6768107612402517</v>
      </c>
      <c r="R23" s="107">
        <f t="shared" si="15"/>
        <v>-0.31958340121365647</v>
      </c>
      <c r="S23" s="107">
        <f t="shared" si="15"/>
        <v>-2.4456859366347192</v>
      </c>
      <c r="T23" s="107">
        <f t="shared" si="15"/>
        <v>-1.5004476287256954</v>
      </c>
      <c r="U23" s="107" t="e">
        <f t="shared" si="15"/>
        <v>#DIV/0!</v>
      </c>
      <c r="V23" s="104"/>
      <c r="W23" s="104"/>
      <c r="X23" s="104"/>
    </row>
    <row r="24" spans="1:24" ht="12.75">
      <c r="A24" s="105" t="s">
        <v>294</v>
      </c>
      <c r="B24" s="107">
        <f aca="true" t="shared" si="16" ref="B24:I24">LN(B4)</f>
        <v>5.111987788356544</v>
      </c>
      <c r="C24" s="107">
        <f t="shared" si="16"/>
        <v>5.215804944973573</v>
      </c>
      <c r="D24" s="107">
        <f t="shared" si="16"/>
        <v>5.089199986966919</v>
      </c>
      <c r="E24" s="107">
        <f t="shared" si="16"/>
        <v>5.1234281215713775</v>
      </c>
      <c r="F24" s="107">
        <f t="shared" si="16"/>
        <v>4.466252886801422</v>
      </c>
      <c r="G24" s="107">
        <f t="shared" si="16"/>
        <v>3.711374531941307</v>
      </c>
      <c r="H24" s="107">
        <f t="shared" si="16"/>
        <v>3.5263605246161616</v>
      </c>
      <c r="I24" s="107">
        <f t="shared" si="16"/>
        <v>2.5649493574615367</v>
      </c>
      <c r="J24" s="107" t="e">
        <f>LN(J4)</f>
        <v>#NUM!</v>
      </c>
      <c r="K24" s="105"/>
      <c r="L24" s="105"/>
      <c r="M24" s="105"/>
      <c r="N24" s="107">
        <f aca="true" t="shared" si="17" ref="N24:U24">75.3+(19.46*N23)</f>
        <v>58.073026973148814</v>
      </c>
      <c r="O24" s="107">
        <f t="shared" si="17"/>
        <v>57.06084537674871</v>
      </c>
      <c r="P24" s="107">
        <f t="shared" si="17"/>
        <v>55.869127614357176</v>
      </c>
      <c r="Q24" s="107">
        <f t="shared" si="17"/>
        <v>62.1292625862647</v>
      </c>
      <c r="R24" s="107">
        <f t="shared" si="17"/>
        <v>69.08090701238224</v>
      </c>
      <c r="S24" s="107">
        <f t="shared" si="17"/>
        <v>27.706951673088362</v>
      </c>
      <c r="T24" s="107">
        <f t="shared" si="17"/>
        <v>46.10128914499796</v>
      </c>
      <c r="U24" s="107" t="e">
        <f t="shared" si="17"/>
        <v>#DIV/0!</v>
      </c>
      <c r="V24" s="104"/>
      <c r="W24" s="104"/>
      <c r="X24" s="104"/>
    </row>
    <row r="25" spans="1:24" ht="12.75">
      <c r="A25" s="105"/>
      <c r="B25" s="107">
        <f aca="true" t="shared" si="18" ref="B25:J25">(14.42*B24)+4.15</f>
        <v>77.86486390810137</v>
      </c>
      <c r="C25" s="107">
        <f t="shared" si="18"/>
        <v>79.36190730651892</v>
      </c>
      <c r="D25" s="107">
        <f t="shared" si="18"/>
        <v>77.53626381206297</v>
      </c>
      <c r="E25" s="107">
        <f t="shared" si="18"/>
        <v>78.02983351305927</v>
      </c>
      <c r="F25" s="107">
        <f t="shared" si="18"/>
        <v>68.55336662767651</v>
      </c>
      <c r="G25" s="107">
        <f t="shared" si="18"/>
        <v>57.66802075059365</v>
      </c>
      <c r="H25" s="107">
        <f t="shared" si="18"/>
        <v>55.000118764965045</v>
      </c>
      <c r="I25" s="107">
        <f t="shared" si="18"/>
        <v>41.136569734595355</v>
      </c>
      <c r="J25" s="107" t="e">
        <f t="shared" si="18"/>
        <v>#NUM!</v>
      </c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4"/>
      <c r="W25" s="104"/>
      <c r="X25" s="104"/>
    </row>
    <row r="26" spans="1:24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5"/>
      <c r="L26" s="105" t="s">
        <v>300</v>
      </c>
      <c r="M26" s="105"/>
      <c r="N26" s="108">
        <f aca="true" t="shared" si="19" ref="N26:T26">(N24+N21+N18)/3</f>
        <v>67.75487332566009</v>
      </c>
      <c r="O26" s="108">
        <f t="shared" si="19"/>
        <v>72.25771936812453</v>
      </c>
      <c r="P26" s="108">
        <f t="shared" si="19"/>
        <v>73.69397158666465</v>
      </c>
      <c r="Q26" s="108">
        <f t="shared" si="19"/>
        <v>73.30534907523385</v>
      </c>
      <c r="R26" s="108">
        <f t="shared" si="19"/>
        <v>68.34456300879302</v>
      </c>
      <c r="S26" s="108">
        <f t="shared" si="19"/>
        <v>45.86820210222444</v>
      </c>
      <c r="T26" s="108">
        <f t="shared" si="19"/>
        <v>43.87902970652963</v>
      </c>
      <c r="U26" s="108" t="e">
        <f>(U24+U21+U18)/3</f>
        <v>#DIV/0!</v>
      </c>
      <c r="V26" s="104"/>
      <c r="W26" s="104"/>
      <c r="X26" s="104"/>
    </row>
    <row r="27" spans="1:24" ht="12.75">
      <c r="A27" s="105" t="s">
        <v>299</v>
      </c>
      <c r="B27" s="105"/>
      <c r="C27" s="105"/>
      <c r="D27" s="105"/>
      <c r="E27" s="105"/>
      <c r="F27" s="105"/>
      <c r="G27" s="105"/>
      <c r="H27" s="105"/>
      <c r="I27" s="105"/>
      <c r="J27" s="104"/>
      <c r="K27" s="105"/>
      <c r="L27" s="105"/>
      <c r="M27" s="105"/>
      <c r="N27" s="105" t="s">
        <v>298</v>
      </c>
      <c r="O27" s="105" t="s">
        <v>298</v>
      </c>
      <c r="P27" s="105" t="s">
        <v>298</v>
      </c>
      <c r="Q27" s="105" t="s">
        <v>298</v>
      </c>
      <c r="R27" s="105" t="s">
        <v>298</v>
      </c>
      <c r="S27" s="104" t="s">
        <v>297</v>
      </c>
      <c r="T27" s="104" t="s">
        <v>106</v>
      </c>
      <c r="U27" s="104"/>
      <c r="V27" s="104"/>
      <c r="W27" s="104"/>
      <c r="X27" s="104"/>
    </row>
    <row r="28" spans="1:24" ht="12.75">
      <c r="A28" s="105"/>
      <c r="B28" s="105"/>
      <c r="C28" s="105">
        <v>1991</v>
      </c>
      <c r="D28" s="105">
        <v>1992</v>
      </c>
      <c r="E28" s="105">
        <v>1993</v>
      </c>
      <c r="F28" s="105">
        <v>1994</v>
      </c>
      <c r="G28" s="105">
        <v>1995</v>
      </c>
      <c r="H28" s="105">
        <v>1996</v>
      </c>
      <c r="I28" s="105">
        <v>1997</v>
      </c>
      <c r="J28" s="105">
        <v>1998</v>
      </c>
      <c r="K28" s="105"/>
      <c r="L28" s="105"/>
      <c r="M28" s="105"/>
      <c r="N28" s="105"/>
      <c r="O28" s="105"/>
      <c r="P28" s="105"/>
      <c r="Q28" s="105"/>
      <c r="R28" s="105"/>
      <c r="S28" s="104"/>
      <c r="T28" s="104"/>
      <c r="U28" s="104"/>
      <c r="V28" s="104"/>
      <c r="W28" s="104"/>
      <c r="X28" s="104"/>
    </row>
    <row r="29" spans="1:24" ht="12.75">
      <c r="A29" s="105" t="s">
        <v>296</v>
      </c>
      <c r="B29" s="105"/>
      <c r="C29" s="107">
        <f aca="true" t="shared" si="20" ref="C29:I29">LN(C12)</f>
        <v>0.7080357930536959</v>
      </c>
      <c r="D29" s="107">
        <f t="shared" si="20"/>
        <v>0.7514160886839212</v>
      </c>
      <c r="E29" s="107">
        <f t="shared" si="20"/>
        <v>0.8020015854720274</v>
      </c>
      <c r="F29" s="107">
        <f t="shared" si="20"/>
        <v>0.5306282510621704</v>
      </c>
      <c r="G29" s="107">
        <f t="shared" si="20"/>
        <v>0.2151113796169455</v>
      </c>
      <c r="H29" s="107">
        <f t="shared" si="20"/>
        <v>1.791759469228055</v>
      </c>
      <c r="I29" s="107">
        <f t="shared" si="20"/>
        <v>1.1939224684724346</v>
      </c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</row>
    <row r="30" spans="1:24" ht="12.75">
      <c r="A30" s="105"/>
      <c r="B30" s="105"/>
      <c r="C30" s="107">
        <f aca="true" t="shared" si="21" ref="C30:I30">60-(14.41*C29)</f>
        <v>49.79720422209624</v>
      </c>
      <c r="D30" s="107">
        <f t="shared" si="21"/>
        <v>49.172094162064695</v>
      </c>
      <c r="E30" s="107">
        <f t="shared" si="21"/>
        <v>48.44315715334808</v>
      </c>
      <c r="F30" s="107">
        <f t="shared" si="21"/>
        <v>52.35364690219413</v>
      </c>
      <c r="G30" s="107">
        <f t="shared" si="21"/>
        <v>56.90024501971982</v>
      </c>
      <c r="H30" s="107">
        <f t="shared" si="21"/>
        <v>34.18074604842373</v>
      </c>
      <c r="I30" s="107">
        <f t="shared" si="21"/>
        <v>42.795577229312215</v>
      </c>
      <c r="J30" s="104"/>
      <c r="K30" s="105"/>
      <c r="L30" s="105"/>
      <c r="M30" s="105"/>
      <c r="N30" s="105"/>
      <c r="O30" s="105"/>
      <c r="P30" s="105"/>
      <c r="Q30" s="105"/>
      <c r="R30" s="105"/>
      <c r="S30" s="104"/>
      <c r="T30" s="104"/>
      <c r="U30" s="104"/>
      <c r="V30" s="104"/>
      <c r="W30" s="104"/>
      <c r="X30" s="104"/>
    </row>
    <row r="31" spans="1:24" ht="12.75">
      <c r="A31" s="105"/>
      <c r="B31" s="105"/>
      <c r="C31" s="107"/>
      <c r="D31" s="107"/>
      <c r="E31" s="107"/>
      <c r="F31" s="107"/>
      <c r="G31" s="107"/>
      <c r="H31" s="105"/>
      <c r="I31" s="105"/>
      <c r="J31" s="104"/>
      <c r="K31" s="105"/>
      <c r="L31" s="105"/>
      <c r="M31" s="105"/>
      <c r="N31" s="105"/>
      <c r="O31" s="105"/>
      <c r="P31" s="105"/>
      <c r="Q31" s="105"/>
      <c r="R31" s="105"/>
      <c r="S31" s="104"/>
      <c r="T31" s="104"/>
      <c r="U31" s="104"/>
      <c r="V31" s="104"/>
      <c r="W31" s="104"/>
      <c r="X31" s="104"/>
    </row>
    <row r="32" spans="1:24" ht="12.75">
      <c r="A32" s="105" t="s">
        <v>295</v>
      </c>
      <c r="B32" s="105"/>
      <c r="C32" s="107">
        <f aca="true" t="shared" si="22" ref="C32:I32">LN(C11)</f>
        <v>1.3837912309017721</v>
      </c>
      <c r="D32" s="107">
        <f t="shared" si="22"/>
        <v>2.4664031782234406</v>
      </c>
      <c r="E32" s="107">
        <f t="shared" si="22"/>
        <v>2.667228206581955</v>
      </c>
      <c r="F32" s="107">
        <f t="shared" si="22"/>
        <v>3.2733640101522705</v>
      </c>
      <c r="G32" s="107">
        <f t="shared" si="22"/>
        <v>2.3942522815198695</v>
      </c>
      <c r="H32" s="107">
        <f t="shared" si="22"/>
        <v>1.1969481893889715</v>
      </c>
      <c r="I32" s="107">
        <f t="shared" si="22"/>
        <v>0.8424288832756998</v>
      </c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</row>
    <row r="33" spans="1:24" ht="12.75">
      <c r="A33" s="105"/>
      <c r="B33" s="105"/>
      <c r="C33" s="107">
        <f aca="true" t="shared" si="23" ref="C33:I33">(9.81*C32)+30.6</f>
        <v>44.17499197514638</v>
      </c>
      <c r="D33" s="107">
        <f t="shared" si="23"/>
        <v>54.795415178371954</v>
      </c>
      <c r="E33" s="107">
        <f t="shared" si="23"/>
        <v>56.76550870656898</v>
      </c>
      <c r="F33" s="107">
        <f t="shared" si="23"/>
        <v>62.711700939593776</v>
      </c>
      <c r="G33" s="107">
        <f t="shared" si="23"/>
        <v>54.087614881709925</v>
      </c>
      <c r="H33" s="107">
        <f t="shared" si="23"/>
        <v>42.34206173790581</v>
      </c>
      <c r="I33" s="107">
        <f t="shared" si="23"/>
        <v>38.86422734493462</v>
      </c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</row>
    <row r="34" spans="1:24" ht="12.75">
      <c r="A34" s="105"/>
      <c r="B34" s="105"/>
      <c r="C34" s="107"/>
      <c r="D34" s="107"/>
      <c r="E34" s="107"/>
      <c r="F34" s="107"/>
      <c r="G34" s="107"/>
      <c r="H34" s="105"/>
      <c r="I34" s="105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</row>
    <row r="35" spans="1:24" ht="12.75">
      <c r="A35" s="105" t="s">
        <v>294</v>
      </c>
      <c r="B35" s="105"/>
      <c r="C35" s="107">
        <f aca="true" t="shared" si="24" ref="C35:I35">LN(C10)</f>
        <v>5.256609563148246</v>
      </c>
      <c r="D35" s="107">
        <f t="shared" si="24"/>
        <v>5.2021368080740675</v>
      </c>
      <c r="E35" s="107">
        <f t="shared" si="24"/>
        <v>5.332235584751498</v>
      </c>
      <c r="F35" s="107">
        <f t="shared" si="24"/>
        <v>4.524719061590464</v>
      </c>
      <c r="G35" s="107">
        <f t="shared" si="24"/>
        <v>4.067315889834181</v>
      </c>
      <c r="H35" s="107">
        <f t="shared" si="24"/>
        <v>3.6282548322975017</v>
      </c>
      <c r="I35" s="107">
        <f t="shared" si="24"/>
        <v>2.6667320418459206</v>
      </c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12.75">
      <c r="A36" s="105"/>
      <c r="B36" s="105"/>
      <c r="C36" s="107">
        <f aca="true" t="shared" si="25" ref="C36:I36">(14.42*C35)+4.15</f>
        <v>79.95030990059772</v>
      </c>
      <c r="D36" s="107">
        <f t="shared" si="25"/>
        <v>79.16481277242806</v>
      </c>
      <c r="E36" s="107">
        <f t="shared" si="25"/>
        <v>81.04083713211661</v>
      </c>
      <c r="F36" s="107">
        <f t="shared" si="25"/>
        <v>69.3964488681345</v>
      </c>
      <c r="G36" s="107">
        <f t="shared" si="25"/>
        <v>62.800695131408894</v>
      </c>
      <c r="H36" s="107">
        <f t="shared" si="25"/>
        <v>56.46943468172997</v>
      </c>
      <c r="I36" s="107">
        <f t="shared" si="25"/>
        <v>42.604276043418174</v>
      </c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</row>
    <row r="37" spans="1:24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1:24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1:24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</row>
    <row r="41" spans="1:24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</row>
    <row r="42" spans="1:24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1:24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ht="12.75">
      <c r="A46" s="106" t="s">
        <v>293</v>
      </c>
      <c r="B46" s="105"/>
      <c r="C46" s="105" t="s">
        <v>292</v>
      </c>
      <c r="D46" s="105"/>
      <c r="E46" s="105"/>
      <c r="F46" s="105"/>
      <c r="G46" s="105"/>
      <c r="H46" s="105"/>
      <c r="I46" s="105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ht="12.75">
      <c r="A47" s="106" t="s">
        <v>291</v>
      </c>
      <c r="B47" s="105"/>
      <c r="C47" s="105" t="s">
        <v>290</v>
      </c>
      <c r="D47" s="105"/>
      <c r="E47" s="105"/>
      <c r="F47" s="105"/>
      <c r="G47" s="105"/>
      <c r="H47" s="105"/>
      <c r="I47" s="105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1:24" ht="12.75">
      <c r="A48" s="106" t="s">
        <v>289</v>
      </c>
      <c r="B48" s="105"/>
      <c r="C48" s="105" t="s">
        <v>288</v>
      </c>
      <c r="D48" s="105"/>
      <c r="E48" s="105"/>
      <c r="F48" s="105"/>
      <c r="G48" s="105"/>
      <c r="H48" s="105"/>
      <c r="I48" s="105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64" spans="2:3" ht="12.75">
      <c r="B64" s="111" t="s">
        <v>321</v>
      </c>
      <c r="C64" s="111" t="s">
        <v>329</v>
      </c>
    </row>
    <row r="65" spans="2:3" ht="12.75">
      <c r="B65" s="111" t="s">
        <v>319</v>
      </c>
      <c r="C65" s="111" t="s">
        <v>328</v>
      </c>
    </row>
    <row r="66" spans="2:3" ht="12.75">
      <c r="B66" s="111" t="s">
        <v>316</v>
      </c>
      <c r="C66" s="111" t="s">
        <v>327</v>
      </c>
    </row>
    <row r="67" spans="2:3" ht="12.75">
      <c r="B67" s="111" t="s">
        <v>314</v>
      </c>
      <c r="C67" s="111" t="s">
        <v>326</v>
      </c>
    </row>
    <row r="68" spans="2:3" ht="12.75">
      <c r="B68" s="111" t="s">
        <v>312</v>
      </c>
      <c r="C68" s="111" t="s">
        <v>325</v>
      </c>
    </row>
    <row r="69" spans="2:3" ht="12.75">
      <c r="B69" s="111" t="s">
        <v>309</v>
      </c>
      <c r="C69" s="111" t="s">
        <v>324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6"/>
  <sheetViews>
    <sheetView workbookViewId="0" topLeftCell="A1">
      <selection activeCell="F35" sqref="F35"/>
    </sheetView>
  </sheetViews>
  <sheetFormatPr defaultColWidth="9.140625" defaultRowHeight="12.75"/>
  <cols>
    <col min="1" max="1" width="9.140625" style="74" customWidth="1"/>
    <col min="2" max="2" width="10.57421875" style="74" customWidth="1"/>
    <col min="3" max="3" width="10.7109375" style="74" customWidth="1"/>
    <col min="4" max="16384" width="9.140625" style="74" customWidth="1"/>
  </cols>
  <sheetData>
    <row r="1" spans="1:2" ht="12.75">
      <c r="A1" s="74">
        <v>1997</v>
      </c>
      <c r="B1" s="74" t="s">
        <v>30</v>
      </c>
    </row>
    <row r="2" spans="2:3" ht="12.75">
      <c r="B2" s="74" t="s">
        <v>31</v>
      </c>
      <c r="C2" s="74" t="s">
        <v>32</v>
      </c>
    </row>
    <row r="3" spans="1:4" ht="12.75">
      <c r="A3" s="76">
        <v>35836</v>
      </c>
      <c r="B3" s="74">
        <v>3</v>
      </c>
      <c r="C3" s="74">
        <v>3.6</v>
      </c>
      <c r="D3" s="74" t="s">
        <v>0</v>
      </c>
    </row>
    <row r="4" spans="1:4" ht="12.75">
      <c r="A4" s="76">
        <v>35852</v>
      </c>
      <c r="B4" s="74">
        <v>3</v>
      </c>
      <c r="C4" s="74">
        <v>6.2</v>
      </c>
      <c r="D4" s="74" t="s">
        <v>1</v>
      </c>
    </row>
    <row r="5" spans="1:4" ht="12.75">
      <c r="A5" s="76">
        <v>35866</v>
      </c>
      <c r="B5" s="74">
        <v>3</v>
      </c>
      <c r="C5" s="74">
        <v>2.4</v>
      </c>
      <c r="D5" s="74" t="s">
        <v>2</v>
      </c>
    </row>
    <row r="6" spans="1:4" ht="12.75">
      <c r="A6" s="76">
        <v>35902</v>
      </c>
      <c r="B6" s="74">
        <v>3.5</v>
      </c>
      <c r="C6" s="74">
        <v>0.5</v>
      </c>
      <c r="D6" s="74" t="s">
        <v>3</v>
      </c>
    </row>
    <row r="7" spans="1:4" ht="12.75">
      <c r="A7" s="76">
        <v>35942</v>
      </c>
      <c r="B7" s="74">
        <v>3</v>
      </c>
      <c r="C7" s="74">
        <v>2.3</v>
      </c>
      <c r="D7" s="74" t="s">
        <v>4</v>
      </c>
    </row>
    <row r="8" spans="1:4" ht="12.75">
      <c r="A8" s="76">
        <v>35964</v>
      </c>
      <c r="B8" s="74">
        <v>4</v>
      </c>
      <c r="C8" s="74">
        <v>2.8</v>
      </c>
      <c r="D8" s="74" t="s">
        <v>5</v>
      </c>
    </row>
    <row r="9" spans="1:4" ht="12.75">
      <c r="A9" s="76">
        <v>35985</v>
      </c>
      <c r="B9" s="74">
        <v>4</v>
      </c>
      <c r="C9" s="74">
        <v>2.8</v>
      </c>
      <c r="D9" s="74" t="s">
        <v>6</v>
      </c>
    </row>
    <row r="10" spans="1:4" ht="12.75">
      <c r="A10" s="76">
        <v>35999</v>
      </c>
      <c r="B10" s="74">
        <v>4</v>
      </c>
      <c r="C10" s="74">
        <v>2.7</v>
      </c>
      <c r="D10" s="74" t="s">
        <v>7</v>
      </c>
    </row>
    <row r="11" spans="1:4" ht="12.75">
      <c r="A11" s="76">
        <v>36019</v>
      </c>
      <c r="B11" s="74">
        <v>3</v>
      </c>
      <c r="C11" s="74">
        <v>5.4</v>
      </c>
      <c r="D11" s="74" t="s">
        <v>8</v>
      </c>
    </row>
    <row r="12" spans="1:4" ht="12.75">
      <c r="A12" s="76">
        <v>36027</v>
      </c>
      <c r="B12" s="74">
        <v>2.5</v>
      </c>
      <c r="C12" s="74">
        <v>6.3</v>
      </c>
      <c r="D12" s="74" t="s">
        <v>9</v>
      </c>
    </row>
    <row r="13" spans="1:4" ht="12.75">
      <c r="A13" s="76">
        <v>36041</v>
      </c>
      <c r="B13" s="74">
        <v>3</v>
      </c>
      <c r="C13" s="74">
        <v>6.9</v>
      </c>
      <c r="D13" s="74" t="s">
        <v>10</v>
      </c>
    </row>
    <row r="14" spans="1:2" ht="12.75">
      <c r="A14" s="76">
        <v>36055</v>
      </c>
      <c r="B14" s="74">
        <v>2.5</v>
      </c>
    </row>
    <row r="15" spans="1:2" ht="12.75">
      <c r="A15" s="76">
        <v>36076</v>
      </c>
      <c r="B15" s="74">
        <v>2.5</v>
      </c>
    </row>
    <row r="16" spans="1:2" ht="12.75">
      <c r="A16" s="76">
        <v>36118</v>
      </c>
      <c r="B16" s="74">
        <v>2.5</v>
      </c>
    </row>
    <row r="17" spans="1:2" ht="12.75">
      <c r="A17" s="76">
        <v>36147</v>
      </c>
      <c r="B17" s="74">
        <v>3</v>
      </c>
    </row>
    <row r="19" spans="2:7" ht="12.75">
      <c r="B19" s="73" t="s">
        <v>32</v>
      </c>
      <c r="C19" s="73" t="s">
        <v>178</v>
      </c>
      <c r="E19" s="1"/>
      <c r="F19" s="80"/>
      <c r="G19" s="1"/>
    </row>
    <row r="20" spans="1:7" ht="12.75">
      <c r="A20" s="74">
        <v>1982</v>
      </c>
      <c r="B20" s="73">
        <v>15</v>
      </c>
      <c r="C20" s="73">
        <v>23</v>
      </c>
      <c r="D20"/>
      <c r="E20" s="1"/>
      <c r="F20" s="81"/>
      <c r="G20"/>
    </row>
    <row r="21" spans="1:7" ht="12.75">
      <c r="A21" s="74">
        <v>1983</v>
      </c>
      <c r="B21" s="73">
        <v>16</v>
      </c>
      <c r="C21" s="73">
        <v>50</v>
      </c>
      <c r="D21"/>
      <c r="E21" s="1"/>
      <c r="F21" s="81"/>
      <c r="G21"/>
    </row>
    <row r="22" spans="1:7" ht="12.75">
      <c r="A22" s="74">
        <v>1984</v>
      </c>
      <c r="B22" s="73">
        <v>6.7</v>
      </c>
      <c r="C22" s="73">
        <v>35</v>
      </c>
      <c r="D22"/>
      <c r="E22" s="1"/>
      <c r="F22" s="81"/>
      <c r="G22"/>
    </row>
    <row r="23" spans="1:7" ht="12.75">
      <c r="A23" s="74">
        <v>1985</v>
      </c>
      <c r="B23" s="73">
        <v>8.9</v>
      </c>
      <c r="C23" s="73">
        <v>28</v>
      </c>
      <c r="D23"/>
      <c r="E23" s="1"/>
      <c r="F23" s="81"/>
      <c r="G23"/>
    </row>
    <row r="24" spans="1:7" ht="12.75">
      <c r="A24" s="74">
        <v>1987</v>
      </c>
      <c r="B24" s="73">
        <v>9</v>
      </c>
      <c r="C24" s="73">
        <v>80</v>
      </c>
      <c r="E24" s="1"/>
      <c r="F24" s="81"/>
      <c r="G24"/>
    </row>
    <row r="25" spans="1:7" ht="12.75">
      <c r="A25" s="74">
        <v>1988</v>
      </c>
      <c r="B25" s="73">
        <v>9.6</v>
      </c>
      <c r="C25" s="73">
        <v>20</v>
      </c>
      <c r="D25" s="82"/>
      <c r="E25" s="1"/>
      <c r="F25" s="81"/>
      <c r="G25"/>
    </row>
    <row r="26" spans="1:7" ht="12.75">
      <c r="A26" s="74">
        <v>1989</v>
      </c>
      <c r="B26" s="73">
        <v>2.3</v>
      </c>
      <c r="C26" s="73">
        <v>12</v>
      </c>
      <c r="D26" s="82"/>
      <c r="E26" s="1"/>
      <c r="F26" s="81"/>
      <c r="G26"/>
    </row>
    <row r="27" spans="1:7" ht="12.75">
      <c r="A27" s="74">
        <v>1990</v>
      </c>
      <c r="B27" s="73">
        <v>10</v>
      </c>
      <c r="C27" s="73">
        <v>27</v>
      </c>
      <c r="D27" s="82"/>
      <c r="E27" s="1"/>
      <c r="F27" s="81"/>
      <c r="G27"/>
    </row>
    <row r="28" spans="1:7" ht="12.75">
      <c r="A28" s="74">
        <v>1991</v>
      </c>
      <c r="B28" s="73">
        <v>2.7</v>
      </c>
      <c r="C28" s="73">
        <v>44</v>
      </c>
      <c r="D28" s="82"/>
      <c r="E28" s="1"/>
      <c r="F28" s="81"/>
      <c r="G28"/>
    </row>
    <row r="29" spans="1:7" ht="12.75">
      <c r="A29" s="74">
        <v>1992</v>
      </c>
      <c r="B29" s="73">
        <v>4.5</v>
      </c>
      <c r="C29" s="73">
        <v>27</v>
      </c>
      <c r="D29" s="82"/>
      <c r="E29" s="1"/>
      <c r="F29" s="81"/>
      <c r="G29"/>
    </row>
    <row r="30" spans="1:7" ht="12.75">
      <c r="A30" s="74">
        <v>1993</v>
      </c>
      <c r="B30" s="73">
        <v>4.1</v>
      </c>
      <c r="C30" s="73">
        <v>18</v>
      </c>
      <c r="D30" s="82"/>
      <c r="E30" s="1"/>
      <c r="F30" s="81"/>
      <c r="G30"/>
    </row>
    <row r="31" spans="1:7" ht="12.75">
      <c r="A31" s="74">
        <v>1994</v>
      </c>
      <c r="B31" s="73">
        <v>3.3</v>
      </c>
      <c r="C31" s="73">
        <v>13.3</v>
      </c>
      <c r="D31" s="82"/>
      <c r="E31" s="1"/>
      <c r="F31" s="81"/>
      <c r="G31"/>
    </row>
    <row r="32" spans="1:7" ht="12.75">
      <c r="A32" s="74">
        <v>1995</v>
      </c>
      <c r="B32" s="73">
        <v>1.2</v>
      </c>
      <c r="C32" s="73">
        <v>20</v>
      </c>
      <c r="E32" s="1"/>
      <c r="F32" s="81"/>
      <c r="G32"/>
    </row>
    <row r="33" spans="1:7" ht="12.75">
      <c r="A33" s="74">
        <v>1996</v>
      </c>
      <c r="B33" s="73">
        <v>3.9</v>
      </c>
      <c r="C33" s="73">
        <v>34</v>
      </c>
      <c r="E33" s="1"/>
      <c r="F33" s="81"/>
      <c r="G33"/>
    </row>
    <row r="34" spans="1:7" ht="12.75">
      <c r="A34" s="74">
        <v>1997</v>
      </c>
      <c r="B34" s="73">
        <v>2.3</v>
      </c>
      <c r="C34" s="73">
        <v>13</v>
      </c>
      <c r="E34" s="1"/>
      <c r="F34" s="81"/>
      <c r="G34"/>
    </row>
    <row r="35" spans="5:7" ht="12.75">
      <c r="E35" s="1"/>
      <c r="F35" s="81"/>
      <c r="G35"/>
    </row>
    <row r="36" spans="5:7" ht="12.75">
      <c r="E36" s="1"/>
      <c r="F36" s="81"/>
      <c r="G36"/>
    </row>
    <row r="37" spans="2:7" ht="12.75">
      <c r="B37" s="73" t="s">
        <v>32</v>
      </c>
      <c r="C37" s="73" t="s">
        <v>178</v>
      </c>
      <c r="D37" s="74" t="s">
        <v>286</v>
      </c>
      <c r="E37" s="1" t="s">
        <v>287</v>
      </c>
      <c r="F37" s="81"/>
      <c r="G37"/>
    </row>
    <row r="38" spans="1:7" ht="12.75">
      <c r="A38" s="74">
        <v>1982</v>
      </c>
      <c r="B38" s="73">
        <v>15</v>
      </c>
      <c r="C38" s="73">
        <v>23</v>
      </c>
      <c r="D38" s="74">
        <f>LOG(B38)</f>
        <v>1.1760912590556813</v>
      </c>
      <c r="E38" s="74">
        <f>LOG(C38)</f>
        <v>1.3617278360175928</v>
      </c>
      <c r="F38" s="81"/>
      <c r="G38"/>
    </row>
    <row r="39" spans="1:7" ht="12.75">
      <c r="A39" s="74">
        <v>1983</v>
      </c>
      <c r="B39" s="73">
        <v>16</v>
      </c>
      <c r="C39" s="73">
        <v>50</v>
      </c>
      <c r="D39" s="74">
        <f aca="true" t="shared" si="0" ref="D39:D52">LOG(B39)</f>
        <v>1.2041199826559248</v>
      </c>
      <c r="E39" s="74">
        <f aca="true" t="shared" si="1" ref="E39:E52">LOG(C39)</f>
        <v>1.6989700043360187</v>
      </c>
      <c r="F39" s="81"/>
      <c r="G39"/>
    </row>
    <row r="40" spans="1:7" ht="12.75">
      <c r="A40" s="74">
        <v>1984</v>
      </c>
      <c r="B40" s="73">
        <v>6.7</v>
      </c>
      <c r="C40" s="73">
        <v>35</v>
      </c>
      <c r="D40" s="74">
        <f t="shared" si="0"/>
        <v>0.8260748027008264</v>
      </c>
      <c r="E40" s="74">
        <f t="shared" si="1"/>
        <v>1.5440680443502757</v>
      </c>
      <c r="F40" s="81"/>
      <c r="G40"/>
    </row>
    <row r="41" spans="1:7" ht="12.75">
      <c r="A41" s="74">
        <v>1985</v>
      </c>
      <c r="B41" s="73">
        <v>8.9</v>
      </c>
      <c r="C41" s="73">
        <v>28</v>
      </c>
      <c r="D41" s="74">
        <f t="shared" si="0"/>
        <v>0.9493900066449128</v>
      </c>
      <c r="E41" s="74">
        <f t="shared" si="1"/>
        <v>1.4471580313422192</v>
      </c>
      <c r="F41" s="81"/>
      <c r="G41"/>
    </row>
    <row r="42" spans="1:7" ht="12.75">
      <c r="A42" s="74">
        <v>1987</v>
      </c>
      <c r="B42" s="73">
        <v>9</v>
      </c>
      <c r="C42" s="73">
        <v>80</v>
      </c>
      <c r="D42" s="74">
        <f t="shared" si="0"/>
        <v>0.9542425094393249</v>
      </c>
      <c r="E42" s="74">
        <f t="shared" si="1"/>
        <v>1.9030899869919435</v>
      </c>
      <c r="F42" s="81"/>
      <c r="G42"/>
    </row>
    <row r="43" spans="1:7" ht="12.75">
      <c r="A43" s="74">
        <v>1988</v>
      </c>
      <c r="B43" s="73">
        <v>9.6</v>
      </c>
      <c r="C43" s="73">
        <v>20</v>
      </c>
      <c r="D43" s="74">
        <f t="shared" si="0"/>
        <v>0.9822712330395684</v>
      </c>
      <c r="E43" s="74">
        <f t="shared" si="1"/>
        <v>1.3010299956639813</v>
      </c>
      <c r="F43" s="81"/>
      <c r="G43"/>
    </row>
    <row r="44" spans="1:7" ht="12.75">
      <c r="A44" s="74">
        <v>1989</v>
      </c>
      <c r="B44" s="73">
        <v>2.3</v>
      </c>
      <c r="C44" s="73">
        <v>12</v>
      </c>
      <c r="D44" s="74">
        <f t="shared" si="0"/>
        <v>0.36172783601759284</v>
      </c>
      <c r="E44" s="74">
        <f t="shared" si="1"/>
        <v>1.0791812460476249</v>
      </c>
      <c r="F44" s="81"/>
      <c r="G44"/>
    </row>
    <row r="45" spans="1:7" ht="12.75">
      <c r="A45" s="74">
        <v>1990</v>
      </c>
      <c r="B45" s="73">
        <v>10</v>
      </c>
      <c r="C45" s="73">
        <v>27</v>
      </c>
      <c r="D45" s="74">
        <f t="shared" si="0"/>
        <v>1</v>
      </c>
      <c r="E45" s="74">
        <f t="shared" si="1"/>
        <v>1.4313637641589874</v>
      </c>
      <c r="F45" s="81"/>
      <c r="G45"/>
    </row>
    <row r="46" spans="1:7" ht="12.75">
      <c r="A46" s="74">
        <v>1991</v>
      </c>
      <c r="B46" s="73">
        <v>2.7</v>
      </c>
      <c r="C46" s="73">
        <v>44</v>
      </c>
      <c r="D46" s="74">
        <f t="shared" si="0"/>
        <v>0.43136376415898736</v>
      </c>
      <c r="E46" s="74">
        <f t="shared" si="1"/>
        <v>1.6434526764861874</v>
      </c>
      <c r="F46" s="81"/>
      <c r="G46"/>
    </row>
    <row r="47" spans="1:7" ht="12.75">
      <c r="A47" s="74">
        <v>1992</v>
      </c>
      <c r="B47" s="73">
        <v>4.5</v>
      </c>
      <c r="C47" s="73">
        <v>27</v>
      </c>
      <c r="D47" s="74">
        <f t="shared" si="0"/>
        <v>0.6532125137753437</v>
      </c>
      <c r="E47" s="74">
        <f t="shared" si="1"/>
        <v>1.4313637641589874</v>
      </c>
      <c r="F47" s="81"/>
      <c r="G47"/>
    </row>
    <row r="48" spans="1:7" ht="12.75">
      <c r="A48" s="74">
        <v>1993</v>
      </c>
      <c r="B48" s="73">
        <v>4.1</v>
      </c>
      <c r="C48" s="73">
        <v>18</v>
      </c>
      <c r="D48" s="74">
        <f t="shared" si="0"/>
        <v>0.6127838567197355</v>
      </c>
      <c r="E48" s="74">
        <f t="shared" si="1"/>
        <v>1.255272505103306</v>
      </c>
      <c r="F48" s="81"/>
      <c r="G48"/>
    </row>
    <row r="49" spans="1:7" ht="12.75">
      <c r="A49" s="74">
        <v>1994</v>
      </c>
      <c r="B49" s="73">
        <v>3.3</v>
      </c>
      <c r="C49" s="73">
        <v>13.3</v>
      </c>
      <c r="D49" s="74">
        <f t="shared" si="0"/>
        <v>0.5185139398778874</v>
      </c>
      <c r="E49" s="74">
        <f t="shared" si="1"/>
        <v>1.1238516409670858</v>
      </c>
      <c r="F49" s="81"/>
      <c r="G49"/>
    </row>
    <row r="50" spans="1:7" ht="12.75">
      <c r="A50" s="74">
        <v>1995</v>
      </c>
      <c r="B50" s="73">
        <v>1.2</v>
      </c>
      <c r="C50" s="73">
        <v>20</v>
      </c>
      <c r="D50" s="74">
        <f t="shared" si="0"/>
        <v>0.07918124604762482</v>
      </c>
      <c r="E50" s="74">
        <f t="shared" si="1"/>
        <v>1.3010299956639813</v>
      </c>
      <c r="F50" s="81"/>
      <c r="G50"/>
    </row>
    <row r="51" spans="1:7" ht="12.75">
      <c r="A51" s="74">
        <v>1996</v>
      </c>
      <c r="B51" s="73">
        <v>3.9</v>
      </c>
      <c r="C51" s="73">
        <v>34</v>
      </c>
      <c r="D51" s="74">
        <f t="shared" si="0"/>
        <v>0.5910646070264992</v>
      </c>
      <c r="E51" s="74">
        <f t="shared" si="1"/>
        <v>1.5314789170422551</v>
      </c>
      <c r="F51" s="81"/>
      <c r="G51"/>
    </row>
    <row r="52" spans="1:7" ht="12.75">
      <c r="A52" s="74">
        <v>1997</v>
      </c>
      <c r="B52" s="73">
        <v>2.3</v>
      </c>
      <c r="C52" s="73">
        <v>13</v>
      </c>
      <c r="D52" s="74">
        <f t="shared" si="0"/>
        <v>0.36172783601759284</v>
      </c>
      <c r="E52" s="74">
        <f t="shared" si="1"/>
        <v>1.1139433523068367</v>
      </c>
      <c r="F52" s="81"/>
      <c r="G52"/>
    </row>
    <row r="53" spans="5:7" ht="12.75">
      <c r="E53" s="1"/>
      <c r="F53" s="81"/>
      <c r="G53"/>
    </row>
    <row r="54" spans="5:7" ht="12.75">
      <c r="E54" s="1"/>
      <c r="F54" s="81"/>
      <c r="G54"/>
    </row>
    <row r="55" spans="5:7" ht="12.75">
      <c r="E55" s="1"/>
      <c r="F55" s="81"/>
      <c r="G55"/>
    </row>
    <row r="56" spans="5:7" ht="12.75">
      <c r="E56" s="1"/>
      <c r="F56" s="81"/>
      <c r="G56"/>
    </row>
    <row r="57" spans="5:7" ht="12.75">
      <c r="E57" s="1"/>
      <c r="F57" s="81"/>
      <c r="G57"/>
    </row>
    <row r="58" spans="5:7" ht="12.75">
      <c r="E58" s="1"/>
      <c r="F58" s="81"/>
      <c r="G58"/>
    </row>
    <row r="59" spans="5:7" ht="12.75">
      <c r="E59" s="1"/>
      <c r="F59" s="81"/>
      <c r="G59"/>
    </row>
    <row r="60" spans="5:7" ht="12.75">
      <c r="E60" s="1"/>
      <c r="F60" s="81"/>
      <c r="G60"/>
    </row>
    <row r="61" spans="5:7" ht="12.75">
      <c r="E61" s="1"/>
      <c r="F61" s="81"/>
      <c r="G61"/>
    </row>
    <row r="62" spans="5:7" ht="12.75">
      <c r="E62" s="1"/>
      <c r="F62" s="81"/>
      <c r="G62"/>
    </row>
    <row r="63" spans="5:7" ht="12.75">
      <c r="E63" s="1"/>
      <c r="F63" s="81"/>
      <c r="G63"/>
    </row>
    <row r="64" spans="5:7" ht="12.75">
      <c r="E64" s="1"/>
      <c r="F64" s="81"/>
      <c r="G64"/>
    </row>
    <row r="65" spans="5:7" ht="12.75">
      <c r="E65" s="1"/>
      <c r="F65" s="81"/>
      <c r="G65"/>
    </row>
    <row r="66" spans="5:7" ht="12.75">
      <c r="E66" s="1"/>
      <c r="F66" s="81"/>
      <c r="G66"/>
    </row>
    <row r="67" spans="5:7" ht="12.75">
      <c r="E67" s="1"/>
      <c r="F67" s="81"/>
      <c r="G67"/>
    </row>
    <row r="68" spans="5:7" ht="12.75">
      <c r="E68" s="1"/>
      <c r="F68" s="81"/>
      <c r="G68"/>
    </row>
    <row r="69" spans="5:7" ht="12.75">
      <c r="E69" s="1"/>
      <c r="F69" s="81"/>
      <c r="G69"/>
    </row>
    <row r="70" spans="5:7" ht="12.75">
      <c r="E70" s="1"/>
      <c r="F70" s="81"/>
      <c r="G70"/>
    </row>
    <row r="71" spans="5:7" ht="12.75">
      <c r="E71" s="1"/>
      <c r="F71" s="81"/>
      <c r="G71"/>
    </row>
    <row r="72" spans="5:7" ht="12.75">
      <c r="E72" s="1"/>
      <c r="F72" s="81"/>
      <c r="G72"/>
    </row>
    <row r="73" spans="5:7" ht="12.75">
      <c r="E73" s="1"/>
      <c r="F73" s="81"/>
      <c r="G73"/>
    </row>
    <row r="74" spans="5:7" ht="12.75">
      <c r="E74" s="1"/>
      <c r="F74" s="81"/>
      <c r="G74"/>
    </row>
    <row r="75" spans="5:7" ht="12.75">
      <c r="E75" s="1"/>
      <c r="F75" s="81"/>
      <c r="G75"/>
    </row>
    <row r="76" spans="5:7" ht="12.75">
      <c r="E76" s="1"/>
      <c r="F76" s="81"/>
      <c r="G76"/>
    </row>
    <row r="77" spans="5:7" ht="12.75">
      <c r="E77" s="1"/>
      <c r="F77" s="81"/>
      <c r="G77"/>
    </row>
    <row r="78" spans="5:7" ht="12.75">
      <c r="E78" s="1"/>
      <c r="F78" s="81"/>
      <c r="G78"/>
    </row>
    <row r="79" spans="5:7" ht="12.75">
      <c r="E79" s="1"/>
      <c r="F79" s="81"/>
      <c r="G79"/>
    </row>
    <row r="80" spans="5:7" ht="12.75">
      <c r="E80" s="1"/>
      <c r="F80" s="81"/>
      <c r="G80"/>
    </row>
    <row r="81" spans="5:7" ht="12.75">
      <c r="E81" s="1"/>
      <c r="F81" s="81"/>
      <c r="G81"/>
    </row>
    <row r="82" spans="5:7" ht="12.75">
      <c r="E82" s="1"/>
      <c r="F82" s="81"/>
      <c r="G82"/>
    </row>
    <row r="83" spans="5:7" ht="12.75">
      <c r="E83" s="1"/>
      <c r="F83" s="81"/>
      <c r="G83"/>
    </row>
    <row r="84" spans="5:7" ht="12.75">
      <c r="E84" s="1"/>
      <c r="F84" s="81"/>
      <c r="G84"/>
    </row>
    <row r="85" spans="5:7" ht="12.75">
      <c r="E85" s="1"/>
      <c r="F85" s="81"/>
      <c r="G85"/>
    </row>
    <row r="86" spans="5:7" ht="12.75">
      <c r="E86" s="1"/>
      <c r="F86" s="81"/>
      <c r="G86"/>
    </row>
    <row r="87" spans="5:7" ht="12.75">
      <c r="E87" s="1"/>
      <c r="F87" s="81"/>
      <c r="G87"/>
    </row>
    <row r="88" spans="5:7" ht="12.75">
      <c r="E88" s="1"/>
      <c r="F88" s="81"/>
      <c r="G88"/>
    </row>
    <row r="89" spans="5:7" ht="12.75">
      <c r="E89" s="1"/>
      <c r="F89" s="81"/>
      <c r="G89"/>
    </row>
    <row r="90" spans="5:7" ht="12.75">
      <c r="E90" s="1"/>
      <c r="F90" s="81"/>
      <c r="G90"/>
    </row>
    <row r="91" spans="5:7" ht="12.75">
      <c r="E91" s="1"/>
      <c r="F91" s="81"/>
      <c r="G91"/>
    </row>
    <row r="92" spans="5:7" ht="12.75">
      <c r="E92" s="1"/>
      <c r="F92" s="81"/>
      <c r="G92"/>
    </row>
    <row r="93" spans="5:7" ht="12.75">
      <c r="E93" s="1"/>
      <c r="F93" s="81"/>
      <c r="G93"/>
    </row>
    <row r="94" spans="5:7" ht="12.75">
      <c r="E94" s="1"/>
      <c r="F94" s="81"/>
      <c r="G94"/>
    </row>
    <row r="95" spans="5:7" ht="12.75">
      <c r="E95" s="1"/>
      <c r="F95" s="81"/>
      <c r="G95"/>
    </row>
    <row r="96" spans="5:7" ht="12.75">
      <c r="E96" s="1"/>
      <c r="F96" s="81"/>
      <c r="G96"/>
    </row>
    <row r="234" spans="5:7" ht="12.75">
      <c r="E234"/>
      <c r="F234" s="81"/>
      <c r="G234"/>
    </row>
    <row r="235" spans="5:7" ht="12.75">
      <c r="E235"/>
      <c r="F235" s="81"/>
      <c r="G235"/>
    </row>
    <row r="236" spans="5:7" ht="12.75">
      <c r="E236"/>
      <c r="F236" s="81"/>
      <c r="G236"/>
    </row>
    <row r="237" spans="5:7" ht="12.75">
      <c r="E237"/>
      <c r="F237" s="81"/>
      <c r="G237"/>
    </row>
    <row r="238" spans="5:7" ht="12.75">
      <c r="E238"/>
      <c r="F238" s="81"/>
      <c r="G238"/>
    </row>
    <row r="239" spans="5:7" ht="12.75">
      <c r="E239"/>
      <c r="F239" s="81"/>
      <c r="G239"/>
    </row>
    <row r="240" spans="5:7" ht="12.75">
      <c r="E240"/>
      <c r="F240" s="81"/>
      <c r="G240"/>
    </row>
    <row r="241" spans="5:7" ht="12.75">
      <c r="E241"/>
      <c r="F241" s="81"/>
      <c r="G241"/>
    </row>
    <row r="242" spans="5:7" ht="12.75">
      <c r="E242"/>
      <c r="F242" s="81"/>
      <c r="G242"/>
    </row>
    <row r="243" spans="5:7" ht="12.75">
      <c r="E243"/>
      <c r="F243" s="81"/>
      <c r="G243"/>
    </row>
    <row r="244" spans="5:7" ht="12.75">
      <c r="E244"/>
      <c r="F244" s="81"/>
      <c r="G244"/>
    </row>
    <row r="245" spans="5:7" ht="12.75">
      <c r="E245"/>
      <c r="F245" s="81"/>
      <c r="G245"/>
    </row>
    <row r="246" spans="5:7" ht="12.75">
      <c r="E246"/>
      <c r="F246" s="81"/>
      <c r="G246"/>
    </row>
    <row r="247" spans="5:7" ht="12.75">
      <c r="E247"/>
      <c r="F247" s="81"/>
      <c r="G247"/>
    </row>
    <row r="248" spans="5:7" ht="12.75">
      <c r="E248"/>
      <c r="F248" s="81"/>
      <c r="G248"/>
    </row>
    <row r="249" spans="5:7" ht="12.75">
      <c r="E249"/>
      <c r="F249" s="81"/>
      <c r="G249"/>
    </row>
    <row r="250" spans="5:7" ht="12.75">
      <c r="E250"/>
      <c r="F250" s="81"/>
      <c r="G250"/>
    </row>
    <row r="251" spans="5:7" ht="12.75">
      <c r="E251"/>
      <c r="F251" s="81"/>
      <c r="G251"/>
    </row>
    <row r="252" spans="5:7" ht="12.75">
      <c r="E252"/>
      <c r="F252" s="81"/>
      <c r="G252"/>
    </row>
    <row r="253" spans="5:7" ht="12.75">
      <c r="E253"/>
      <c r="F253" s="81"/>
      <c r="G253"/>
    </row>
    <row r="254" spans="5:7" ht="12.75">
      <c r="E254"/>
      <c r="F254" s="81"/>
      <c r="G254"/>
    </row>
    <row r="255" spans="5:7" ht="12.75">
      <c r="E255"/>
      <c r="F255" s="81"/>
      <c r="G255"/>
    </row>
    <row r="256" spans="5:7" ht="12.75">
      <c r="E256"/>
      <c r="F256" s="81"/>
      <c r="G256"/>
    </row>
    <row r="257" spans="5:7" ht="12.75">
      <c r="E257"/>
      <c r="F257" s="81"/>
      <c r="G257"/>
    </row>
    <row r="258" spans="5:7" ht="12.75">
      <c r="E258"/>
      <c r="F258" s="81"/>
      <c r="G258"/>
    </row>
    <row r="259" spans="5:7" ht="12.75">
      <c r="E259"/>
      <c r="F259" s="81"/>
      <c r="G259"/>
    </row>
    <row r="260" spans="5:7" ht="12.75">
      <c r="E260"/>
      <c r="F260" s="81"/>
      <c r="G260"/>
    </row>
    <row r="261" spans="5:7" ht="12.75">
      <c r="E261"/>
      <c r="F261" s="81"/>
      <c r="G261"/>
    </row>
    <row r="262" spans="5:7" ht="12.75">
      <c r="E262"/>
      <c r="F262" s="81"/>
      <c r="G262"/>
    </row>
    <row r="263" spans="5:7" ht="12.75">
      <c r="E263"/>
      <c r="F263" s="81"/>
      <c r="G263"/>
    </row>
    <row r="264" spans="5:7" ht="12.75">
      <c r="E264"/>
      <c r="F264" s="81"/>
      <c r="G264"/>
    </row>
    <row r="265" spans="5:7" ht="12.75">
      <c r="E265"/>
      <c r="F265" s="81"/>
      <c r="G265"/>
    </row>
    <row r="266" spans="5:7" ht="12.75">
      <c r="E266"/>
      <c r="F266" s="81"/>
      <c r="G266"/>
    </row>
    <row r="267" spans="5:7" ht="12.75">
      <c r="E267"/>
      <c r="F267" s="81"/>
      <c r="G267"/>
    </row>
    <row r="268" spans="5:7" ht="12.75">
      <c r="E268"/>
      <c r="F268" s="81"/>
      <c r="G268"/>
    </row>
    <row r="269" spans="5:7" ht="12.75">
      <c r="E269"/>
      <c r="F269" s="81"/>
      <c r="G269"/>
    </row>
    <row r="270" spans="5:7" ht="12.75">
      <c r="E270"/>
      <c r="F270" s="81"/>
      <c r="G270"/>
    </row>
    <row r="271" spans="5:7" ht="12.75">
      <c r="E271"/>
      <c r="F271" s="81"/>
      <c r="G271"/>
    </row>
    <row r="272" spans="5:7" ht="12.75">
      <c r="E272"/>
      <c r="F272" s="81"/>
      <c r="G272"/>
    </row>
    <row r="273" spans="5:7" ht="12.75">
      <c r="E273"/>
      <c r="F273" s="81"/>
      <c r="G273"/>
    </row>
    <row r="274" spans="5:7" ht="12.75">
      <c r="E274"/>
      <c r="F274" s="81"/>
      <c r="G274"/>
    </row>
    <row r="275" spans="5:7" ht="12.75">
      <c r="E275"/>
      <c r="F275" s="81"/>
      <c r="G275"/>
    </row>
    <row r="276" spans="5:7" ht="12.75">
      <c r="E276"/>
      <c r="F276" s="81"/>
      <c r="G276"/>
    </row>
    <row r="277" spans="5:7" ht="12.75">
      <c r="E277"/>
      <c r="F277" s="81"/>
      <c r="G277"/>
    </row>
    <row r="278" spans="5:7" ht="12.75">
      <c r="E278"/>
      <c r="F278" s="81"/>
      <c r="G278"/>
    </row>
    <row r="279" spans="5:7" ht="12.75">
      <c r="E279"/>
      <c r="F279" s="81"/>
      <c r="G279"/>
    </row>
    <row r="280" spans="5:7" ht="12.75">
      <c r="E280"/>
      <c r="F280" s="81"/>
      <c r="G280"/>
    </row>
    <row r="281" spans="5:7" ht="12.75">
      <c r="E281"/>
      <c r="F281" s="81"/>
      <c r="G281"/>
    </row>
    <row r="282" spans="5:7" ht="12.75">
      <c r="E282"/>
      <c r="F282" s="81"/>
      <c r="G282"/>
    </row>
    <row r="283" spans="5:7" ht="12.75">
      <c r="E283"/>
      <c r="F283" s="81"/>
      <c r="G283"/>
    </row>
    <row r="284" spans="5:7" ht="12.75">
      <c r="E284"/>
      <c r="F284" s="81"/>
      <c r="G284"/>
    </row>
    <row r="285" spans="5:7" ht="12.75">
      <c r="E285"/>
      <c r="F285" s="81"/>
      <c r="G285"/>
    </row>
    <row r="286" spans="5:7" ht="12.75">
      <c r="E286"/>
      <c r="F286" s="81"/>
      <c r="G286"/>
    </row>
    <row r="287" spans="5:7" ht="12.75">
      <c r="E287"/>
      <c r="F287" s="81"/>
      <c r="G287"/>
    </row>
    <row r="288" spans="5:7" ht="12.75">
      <c r="E288"/>
      <c r="F288" s="81"/>
      <c r="G288"/>
    </row>
    <row r="289" spans="5:7" ht="12.75">
      <c r="E289"/>
      <c r="F289" s="81"/>
      <c r="G289"/>
    </row>
    <row r="290" spans="5:7" ht="12.75">
      <c r="E290"/>
      <c r="F290" s="81"/>
      <c r="G290"/>
    </row>
    <row r="291" spans="5:7" ht="12.75">
      <c r="E291"/>
      <c r="F291" s="81"/>
      <c r="G291"/>
    </row>
    <row r="292" spans="5:7" ht="12.75">
      <c r="E292"/>
      <c r="F292" s="81"/>
      <c r="G292"/>
    </row>
    <row r="293" spans="5:7" ht="12.75">
      <c r="E293"/>
      <c r="F293" s="81"/>
      <c r="G293"/>
    </row>
    <row r="294" spans="5:7" ht="12.75">
      <c r="E294"/>
      <c r="F294" s="81"/>
      <c r="G294"/>
    </row>
    <row r="295" spans="5:7" ht="12.75">
      <c r="E295"/>
      <c r="F295" s="81"/>
      <c r="G295"/>
    </row>
    <row r="296" spans="5:7" ht="12.75">
      <c r="E296"/>
      <c r="F296" s="81"/>
      <c r="G296"/>
    </row>
    <row r="297" spans="5:7" ht="12.75">
      <c r="E297"/>
      <c r="F297" s="81"/>
      <c r="G297"/>
    </row>
    <row r="298" spans="5:7" ht="12.75">
      <c r="E298"/>
      <c r="F298" s="81"/>
      <c r="G298"/>
    </row>
    <row r="299" spans="5:7" ht="12.75">
      <c r="E299"/>
      <c r="F299" s="81"/>
      <c r="G299"/>
    </row>
    <row r="300" spans="5:7" ht="12.75">
      <c r="E300"/>
      <c r="F300" s="81"/>
      <c r="G300"/>
    </row>
    <row r="301" spans="5:7" ht="12.75">
      <c r="E301"/>
      <c r="F301" s="81"/>
      <c r="G301"/>
    </row>
    <row r="302" spans="5:7" ht="12.75">
      <c r="E302"/>
      <c r="F302" s="81"/>
      <c r="G302"/>
    </row>
    <row r="303" spans="5:7" ht="12.75">
      <c r="E303"/>
      <c r="F303" s="81"/>
      <c r="G303"/>
    </row>
    <row r="304" spans="5:7" ht="12.75">
      <c r="E304"/>
      <c r="F304" s="81"/>
      <c r="G304"/>
    </row>
    <row r="305" spans="5:7" ht="12.75">
      <c r="E305"/>
      <c r="F305" s="81"/>
      <c r="G305"/>
    </row>
    <row r="306" spans="5:7" ht="12.75">
      <c r="E306"/>
      <c r="F306" s="81"/>
      <c r="G306"/>
    </row>
    <row r="307" spans="5:7" ht="12.75">
      <c r="E307"/>
      <c r="F307" s="81"/>
      <c r="G307"/>
    </row>
    <row r="308" spans="5:7" ht="12.75">
      <c r="E308"/>
      <c r="F308" s="81"/>
      <c r="G308"/>
    </row>
    <row r="309" spans="5:7" ht="12.75">
      <c r="E309"/>
      <c r="F309" s="81"/>
      <c r="G309"/>
    </row>
    <row r="310" spans="5:7" ht="12.75">
      <c r="E310"/>
      <c r="F310" s="81"/>
      <c r="G310"/>
    </row>
    <row r="311" spans="5:7" ht="12.75">
      <c r="E311"/>
      <c r="F311" s="81"/>
      <c r="G311"/>
    </row>
    <row r="312" spans="5:7" ht="12.75">
      <c r="E312"/>
      <c r="F312" s="81"/>
      <c r="G312"/>
    </row>
    <row r="313" spans="5:7" ht="12.75">
      <c r="E313"/>
      <c r="F313" s="81"/>
      <c r="G313"/>
    </row>
    <row r="314" spans="5:7" ht="12.75">
      <c r="E314"/>
      <c r="F314" s="81"/>
      <c r="G314"/>
    </row>
    <row r="315" spans="5:7" ht="12.75">
      <c r="E315"/>
      <c r="F315" s="81"/>
      <c r="G315"/>
    </row>
    <row r="316" spans="5:7" ht="12.75">
      <c r="E316"/>
      <c r="F316" s="81"/>
      <c r="G316"/>
    </row>
    <row r="317" spans="5:7" ht="12.75">
      <c r="E317"/>
      <c r="F317" s="81"/>
      <c r="G317"/>
    </row>
    <row r="318" spans="5:7" ht="12.75">
      <c r="E318"/>
      <c r="F318" s="81"/>
      <c r="G318"/>
    </row>
    <row r="319" spans="5:7" ht="12.75">
      <c r="E319"/>
      <c r="F319" s="81"/>
      <c r="G319"/>
    </row>
    <row r="320" spans="5:7" ht="12.75">
      <c r="E320"/>
      <c r="F320" s="81"/>
      <c r="G320"/>
    </row>
    <row r="321" spans="5:7" ht="12.75">
      <c r="E321"/>
      <c r="F321" s="81"/>
      <c r="G321"/>
    </row>
    <row r="322" spans="5:7" ht="12.75">
      <c r="E322"/>
      <c r="F322" s="81"/>
      <c r="G322"/>
    </row>
    <row r="323" spans="5:7" ht="12.75">
      <c r="E323"/>
      <c r="F323" s="81"/>
      <c r="G323"/>
    </row>
    <row r="324" spans="5:7" ht="12.75">
      <c r="E324"/>
      <c r="F324" s="81"/>
      <c r="G324"/>
    </row>
    <row r="325" spans="5:7" ht="12.75">
      <c r="E325"/>
      <c r="F325" s="81"/>
      <c r="G325"/>
    </row>
    <row r="326" spans="5:7" ht="12.75">
      <c r="E326"/>
      <c r="F326" s="81"/>
      <c r="G326"/>
    </row>
    <row r="327" spans="5:7" ht="12.75">
      <c r="E327"/>
      <c r="F327" s="81"/>
      <c r="G327"/>
    </row>
    <row r="328" spans="5:7" ht="12.75">
      <c r="E328"/>
      <c r="F328" s="81"/>
      <c r="G328"/>
    </row>
    <row r="329" spans="5:7" ht="12.75">
      <c r="E329"/>
      <c r="F329" s="81"/>
      <c r="G329"/>
    </row>
    <row r="330" spans="5:7" ht="12.75">
      <c r="E330"/>
      <c r="F330" s="81"/>
      <c r="G330"/>
    </row>
    <row r="331" spans="5:7" ht="12.75">
      <c r="E331"/>
      <c r="F331" s="81"/>
      <c r="G331"/>
    </row>
    <row r="332" spans="5:7" ht="12.75">
      <c r="E332"/>
      <c r="F332" s="81"/>
      <c r="G332"/>
    </row>
    <row r="333" spans="5:7" ht="12.75">
      <c r="E333"/>
      <c r="F333" s="81"/>
      <c r="G333"/>
    </row>
    <row r="334" spans="5:7" ht="12.75">
      <c r="E334"/>
      <c r="F334" s="81"/>
      <c r="G334"/>
    </row>
    <row r="335" spans="5:7" ht="12.75">
      <c r="E335"/>
      <c r="F335" s="81"/>
      <c r="G335"/>
    </row>
    <row r="336" spans="5:7" ht="12.75">
      <c r="E336"/>
      <c r="F336" s="81"/>
      <c r="G336"/>
    </row>
    <row r="337" spans="5:7" ht="12.75">
      <c r="E337"/>
      <c r="F337" s="81"/>
      <c r="G337"/>
    </row>
    <row r="338" spans="5:7" ht="12.75">
      <c r="E338"/>
      <c r="F338" s="81"/>
      <c r="G338"/>
    </row>
    <row r="339" spans="5:7" ht="12.75">
      <c r="E339"/>
      <c r="F339" s="81"/>
      <c r="G339"/>
    </row>
    <row r="340" spans="5:7" ht="12.75">
      <c r="E340"/>
      <c r="F340" s="81"/>
      <c r="G340"/>
    </row>
    <row r="341" spans="5:7" ht="12.75">
      <c r="E341"/>
      <c r="F341" s="81"/>
      <c r="G341"/>
    </row>
    <row r="342" spans="5:7" ht="12.75">
      <c r="E342"/>
      <c r="F342" s="81"/>
      <c r="G342"/>
    </row>
    <row r="343" spans="5:7" ht="12.75">
      <c r="E343"/>
      <c r="F343" s="81"/>
      <c r="G343"/>
    </row>
    <row r="344" spans="5:7" ht="12.75">
      <c r="E344"/>
      <c r="F344" s="81"/>
      <c r="G344"/>
    </row>
    <row r="345" spans="5:7" ht="12.75">
      <c r="E345"/>
      <c r="F345" s="81"/>
      <c r="G345"/>
    </row>
    <row r="346" spans="5:7" ht="12.75">
      <c r="E346"/>
      <c r="F346" s="81"/>
      <c r="G346"/>
    </row>
    <row r="347" spans="5:7" ht="12.75">
      <c r="E347"/>
      <c r="F347" s="81"/>
      <c r="G347"/>
    </row>
    <row r="348" spans="5:7" ht="12.75">
      <c r="E348"/>
      <c r="F348" s="81"/>
      <c r="G348"/>
    </row>
    <row r="349" spans="5:7" ht="12.75">
      <c r="E349"/>
      <c r="F349" s="81"/>
      <c r="G349"/>
    </row>
    <row r="350" spans="5:7" ht="12.75">
      <c r="E350"/>
      <c r="F350" s="81"/>
      <c r="G350"/>
    </row>
    <row r="351" spans="5:7" ht="12.75">
      <c r="E351"/>
      <c r="F351" s="81"/>
      <c r="G351"/>
    </row>
    <row r="352" spans="5:7" ht="12.75">
      <c r="E352"/>
      <c r="F352" s="81"/>
      <c r="G352"/>
    </row>
    <row r="353" spans="5:7" ht="12.75">
      <c r="E353"/>
      <c r="F353" s="81"/>
      <c r="G353"/>
    </row>
    <row r="354" spans="5:7" ht="12.75">
      <c r="E354"/>
      <c r="F354" s="81"/>
      <c r="G354"/>
    </row>
    <row r="355" spans="5:7" ht="12.75">
      <c r="E355"/>
      <c r="F355" s="81"/>
      <c r="G355"/>
    </row>
    <row r="356" spans="5:7" ht="12.75">
      <c r="E356"/>
      <c r="F356" s="81"/>
      <c r="G356"/>
    </row>
    <row r="357" spans="5:7" ht="12.75">
      <c r="E357"/>
      <c r="F357" s="81"/>
      <c r="G357"/>
    </row>
    <row r="358" spans="5:7" ht="12.75">
      <c r="E358"/>
      <c r="F358" s="81"/>
      <c r="G358"/>
    </row>
    <row r="359" spans="5:7" ht="12.75">
      <c r="E359"/>
      <c r="F359" s="81"/>
      <c r="G359"/>
    </row>
    <row r="360" spans="5:7" ht="12.75">
      <c r="E360"/>
      <c r="F360" s="81"/>
      <c r="G360"/>
    </row>
    <row r="361" spans="5:7" ht="12.75">
      <c r="E361"/>
      <c r="F361" s="81"/>
      <c r="G361"/>
    </row>
    <row r="362" spans="5:7" ht="12.75">
      <c r="E362"/>
      <c r="F362" s="81"/>
      <c r="G362"/>
    </row>
    <row r="363" spans="5:7" ht="12.75">
      <c r="E363"/>
      <c r="F363" s="81"/>
      <c r="G363"/>
    </row>
    <row r="364" spans="5:7" ht="12.75">
      <c r="E364"/>
      <c r="F364" s="81"/>
      <c r="G364"/>
    </row>
    <row r="365" spans="5:7" ht="12.75">
      <c r="E365"/>
      <c r="F365" s="81"/>
      <c r="G365"/>
    </row>
    <row r="366" spans="5:7" ht="12.75">
      <c r="E366"/>
      <c r="F366" s="81"/>
      <c r="G366"/>
    </row>
    <row r="367" spans="5:7" ht="12.75">
      <c r="E367"/>
      <c r="F367" s="81"/>
      <c r="G367"/>
    </row>
    <row r="368" spans="5:7" ht="12.75">
      <c r="E368"/>
      <c r="F368" s="81"/>
      <c r="G368"/>
    </row>
    <row r="369" spans="5:7" ht="12.75">
      <c r="E369"/>
      <c r="F369" s="81"/>
      <c r="G369"/>
    </row>
    <row r="370" spans="5:7" ht="12.75">
      <c r="E370"/>
      <c r="F370" s="81"/>
      <c r="G370"/>
    </row>
    <row r="371" spans="5:7" ht="12.75">
      <c r="E371"/>
      <c r="F371" s="81"/>
      <c r="G371"/>
    </row>
    <row r="372" spans="5:7" ht="12.75">
      <c r="E372"/>
      <c r="F372" s="81"/>
      <c r="G372"/>
    </row>
    <row r="373" spans="5:7" ht="12.75">
      <c r="E373"/>
      <c r="F373" s="81"/>
      <c r="G373"/>
    </row>
    <row r="374" spans="5:7" ht="12.75">
      <c r="E374"/>
      <c r="F374" s="81"/>
      <c r="G374"/>
    </row>
    <row r="375" spans="5:7" ht="12.75">
      <c r="E375"/>
      <c r="F375" s="81"/>
      <c r="G375"/>
    </row>
    <row r="376" spans="5:7" ht="12.75">
      <c r="E376"/>
      <c r="F376" s="81"/>
      <c r="G37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C3" sqref="C3"/>
    </sheetView>
  </sheetViews>
  <sheetFormatPr defaultColWidth="9.140625" defaultRowHeight="12.75"/>
  <cols>
    <col min="1" max="1" width="17.57421875" style="74" customWidth="1"/>
    <col min="2" max="10" width="9.140625" style="74" customWidth="1"/>
    <col min="11" max="11" width="20.140625" style="74" customWidth="1"/>
    <col min="12" max="12" width="13.8515625" style="74" customWidth="1"/>
    <col min="13" max="13" width="15.7109375" style="74" customWidth="1"/>
    <col min="14" max="16" width="9.140625" style="74" customWidth="1"/>
    <col min="17" max="17" width="15.28125" style="74" customWidth="1"/>
    <col min="18" max="18" width="16.140625" style="74" customWidth="1"/>
    <col min="19" max="19" width="9.140625" style="74" customWidth="1"/>
    <col min="20" max="20" width="37.140625" style="74" customWidth="1"/>
    <col min="21" max="21" width="14.421875" style="74" customWidth="1"/>
    <col min="22" max="16384" width="9.140625" style="74" customWidth="1"/>
  </cols>
  <sheetData>
    <row r="1" spans="1:21" ht="12.75">
      <c r="A1" s="73" t="s">
        <v>46</v>
      </c>
      <c r="B1" s="73" t="s">
        <v>47</v>
      </c>
      <c r="C1" s="73">
        <v>0</v>
      </c>
      <c r="D1" s="73">
        <v>1</v>
      </c>
      <c r="E1" s="73">
        <v>2</v>
      </c>
      <c r="F1" s="73" t="s">
        <v>48</v>
      </c>
      <c r="G1" s="73" t="s">
        <v>73</v>
      </c>
      <c r="H1" s="73">
        <v>7</v>
      </c>
      <c r="I1" s="73"/>
      <c r="K1" s="73" t="s">
        <v>77</v>
      </c>
      <c r="L1" s="73" t="s">
        <v>22</v>
      </c>
      <c r="M1" s="73" t="s">
        <v>24</v>
      </c>
      <c r="P1" s="74" t="s">
        <v>77</v>
      </c>
      <c r="Q1" s="113" t="s">
        <v>84</v>
      </c>
      <c r="R1" s="113"/>
      <c r="T1" s="74" t="s">
        <v>89</v>
      </c>
      <c r="U1" s="74" t="s">
        <v>90</v>
      </c>
    </row>
    <row r="2" spans="1:21" ht="12.75">
      <c r="A2" s="74" t="s">
        <v>49</v>
      </c>
      <c r="B2" s="73" t="s">
        <v>66</v>
      </c>
      <c r="C2" s="74">
        <v>13.13</v>
      </c>
      <c r="D2" s="74">
        <v>11.26</v>
      </c>
      <c r="E2" s="74">
        <v>14.66</v>
      </c>
      <c r="F2" s="74">
        <v>6.775</v>
      </c>
      <c r="G2" s="74">
        <v>13.31</v>
      </c>
      <c r="H2" s="74">
        <v>13.02</v>
      </c>
      <c r="K2" s="73"/>
      <c r="L2" s="73" t="s">
        <v>78</v>
      </c>
      <c r="M2" s="73" t="s">
        <v>79</v>
      </c>
      <c r="Q2" s="74" t="s">
        <v>24</v>
      </c>
      <c r="R2" s="74" t="s">
        <v>57</v>
      </c>
      <c r="T2" s="74" t="s">
        <v>91</v>
      </c>
      <c r="U2" s="78" t="s">
        <v>101</v>
      </c>
    </row>
    <row r="3" spans="1:21" ht="12.75">
      <c r="A3" s="74" t="s">
        <v>50</v>
      </c>
      <c r="B3" s="73" t="s">
        <v>33</v>
      </c>
      <c r="C3" s="74">
        <v>234.25</v>
      </c>
      <c r="D3" s="74">
        <v>273.84</v>
      </c>
      <c r="E3" s="74">
        <v>46.47</v>
      </c>
      <c r="K3" s="114" t="s">
        <v>80</v>
      </c>
      <c r="L3" s="114"/>
      <c r="M3" s="114"/>
      <c r="Q3" s="74" t="s">
        <v>71</v>
      </c>
      <c r="R3" s="74" t="s">
        <v>71</v>
      </c>
      <c r="T3" s="74" t="s">
        <v>92</v>
      </c>
      <c r="U3" s="78" t="s">
        <v>96</v>
      </c>
    </row>
    <row r="4" spans="1:21" ht="12.75">
      <c r="A4" s="74" t="s">
        <v>51</v>
      </c>
      <c r="B4" s="73" t="s">
        <v>67</v>
      </c>
      <c r="C4" s="74">
        <v>288.47</v>
      </c>
      <c r="D4" s="74">
        <v>243.67</v>
      </c>
      <c r="E4" s="74">
        <v>328.52</v>
      </c>
      <c r="F4" s="74">
        <v>291.25</v>
      </c>
      <c r="G4" s="74">
        <v>418.5</v>
      </c>
      <c r="H4" s="74">
        <v>275.4</v>
      </c>
      <c r="K4" s="74">
        <v>1987</v>
      </c>
      <c r="L4" s="74">
        <v>0.09</v>
      </c>
      <c r="M4" s="74">
        <v>0.03</v>
      </c>
      <c r="P4" s="74" t="s">
        <v>85</v>
      </c>
      <c r="Q4" s="74" t="s">
        <v>87</v>
      </c>
      <c r="R4" s="74" t="s">
        <v>86</v>
      </c>
      <c r="T4" s="74" t="s">
        <v>93</v>
      </c>
      <c r="U4" s="78" t="s">
        <v>97</v>
      </c>
    </row>
    <row r="5" spans="1:21" ht="12.75">
      <c r="A5" s="74" t="s">
        <v>52</v>
      </c>
      <c r="B5" s="73" t="s">
        <v>68</v>
      </c>
      <c r="C5" s="74">
        <v>9.943</v>
      </c>
      <c r="D5" s="74">
        <v>11.49</v>
      </c>
      <c r="E5" s="74">
        <v>9.11</v>
      </c>
      <c r="F5" s="74">
        <v>10.01</v>
      </c>
      <c r="G5" s="74">
        <v>10.41</v>
      </c>
      <c r="H5" s="74">
        <v>10.23</v>
      </c>
      <c r="K5" s="74">
        <v>1988</v>
      </c>
      <c r="L5" s="74">
        <v>0.12</v>
      </c>
      <c r="M5" s="74">
        <v>0.03</v>
      </c>
      <c r="P5" s="74">
        <v>1987</v>
      </c>
      <c r="Q5" s="74">
        <v>17</v>
      </c>
      <c r="R5" s="74">
        <v>5.7</v>
      </c>
      <c r="T5" s="74" t="s">
        <v>94</v>
      </c>
      <c r="U5" s="78" t="s">
        <v>98</v>
      </c>
    </row>
    <row r="6" spans="1:21" ht="12.75">
      <c r="A6" s="74" t="s">
        <v>74</v>
      </c>
      <c r="B6" s="73" t="s">
        <v>75</v>
      </c>
      <c r="C6" s="74">
        <v>5.31</v>
      </c>
      <c r="D6" s="74">
        <v>38.86</v>
      </c>
      <c r="E6" s="74">
        <v>786.93</v>
      </c>
      <c r="F6" s="74">
        <v>35.67</v>
      </c>
      <c r="H6" s="74">
        <v>2.0627</v>
      </c>
      <c r="K6" s="74">
        <v>1989</v>
      </c>
      <c r="L6" s="74">
        <v>0.14</v>
      </c>
      <c r="M6" s="74">
        <v>0.02</v>
      </c>
      <c r="P6" s="74">
        <v>1988</v>
      </c>
      <c r="Q6" s="74">
        <v>22</v>
      </c>
      <c r="R6" s="74">
        <v>9.6</v>
      </c>
      <c r="T6" s="74" t="s">
        <v>95</v>
      </c>
      <c r="U6" s="78" t="s">
        <v>99</v>
      </c>
    </row>
    <row r="7" spans="1:21" ht="12.75">
      <c r="A7" s="74" t="s">
        <v>53</v>
      </c>
      <c r="B7" s="73" t="s">
        <v>69</v>
      </c>
      <c r="C7" s="74">
        <v>7.94</v>
      </c>
      <c r="D7" s="74">
        <v>8.2</v>
      </c>
      <c r="E7" s="74">
        <v>7.71</v>
      </c>
      <c r="F7" s="74">
        <v>7.85</v>
      </c>
      <c r="G7" s="74">
        <v>8.12</v>
      </c>
      <c r="H7" s="74">
        <v>7.92</v>
      </c>
      <c r="K7" s="74">
        <v>1990</v>
      </c>
      <c r="L7" s="74">
        <v>0.15</v>
      </c>
      <c r="M7" s="74">
        <v>0.05</v>
      </c>
      <c r="P7" s="74">
        <v>1989</v>
      </c>
      <c r="Q7" s="74">
        <v>12</v>
      </c>
      <c r="R7" s="74">
        <v>3.9</v>
      </c>
      <c r="T7" s="74" t="s">
        <v>59</v>
      </c>
      <c r="U7" s="78" t="s">
        <v>100</v>
      </c>
    </row>
    <row r="8" spans="1:18" ht="12.75">
      <c r="A8" s="74" t="s">
        <v>22</v>
      </c>
      <c r="B8" s="73" t="s">
        <v>68</v>
      </c>
      <c r="C8" s="74">
        <v>0.0618</v>
      </c>
      <c r="D8" s="74">
        <v>0.0857</v>
      </c>
      <c r="E8" s="74">
        <v>0.2726</v>
      </c>
      <c r="F8" s="74">
        <v>0.35</v>
      </c>
      <c r="G8" s="74">
        <v>0.2178</v>
      </c>
      <c r="K8" s="74">
        <v>1991</v>
      </c>
      <c r="L8" s="74">
        <v>0.07</v>
      </c>
      <c r="M8" s="74">
        <v>0.1</v>
      </c>
      <c r="P8" s="74">
        <v>1990</v>
      </c>
      <c r="Q8" s="74">
        <v>27</v>
      </c>
      <c r="R8" s="74">
        <v>10.3</v>
      </c>
    </row>
    <row r="9" spans="1:18" ht="12.75">
      <c r="A9" s="74" t="s">
        <v>54</v>
      </c>
      <c r="B9" s="73" t="s">
        <v>68</v>
      </c>
      <c r="C9" s="74">
        <v>0.44</v>
      </c>
      <c r="D9" s="74">
        <v>0.3467</v>
      </c>
      <c r="E9" s="74">
        <v>0.4367</v>
      </c>
      <c r="G9" s="74">
        <v>0.6</v>
      </c>
      <c r="H9" s="74">
        <v>0.796</v>
      </c>
      <c r="K9" s="74">
        <v>1992</v>
      </c>
      <c r="L9" s="74">
        <v>0.03</v>
      </c>
      <c r="M9" s="74">
        <v>0.03</v>
      </c>
      <c r="P9" s="74">
        <v>1991</v>
      </c>
      <c r="Q9" s="74">
        <v>44</v>
      </c>
      <c r="R9" s="74">
        <v>2.4</v>
      </c>
    </row>
    <row r="10" spans="1:18" ht="12.75">
      <c r="A10" s="74" t="s">
        <v>55</v>
      </c>
      <c r="B10" s="73" t="s">
        <v>68</v>
      </c>
      <c r="C10" s="74">
        <v>0.04412</v>
      </c>
      <c r="D10" s="74">
        <v>0.04607</v>
      </c>
      <c r="E10" s="74">
        <v>0.05204</v>
      </c>
      <c r="F10" s="74">
        <v>0.07875</v>
      </c>
      <c r="G10" s="74">
        <v>0.0483</v>
      </c>
      <c r="K10" s="74">
        <v>1993</v>
      </c>
      <c r="L10" s="74">
        <v>0.04</v>
      </c>
      <c r="M10" s="74">
        <v>0.01</v>
      </c>
      <c r="P10" s="74">
        <v>1992</v>
      </c>
      <c r="Q10" s="74">
        <v>27</v>
      </c>
      <c r="R10" s="74">
        <v>4.3</v>
      </c>
    </row>
    <row r="11" spans="1:18" ht="12.75">
      <c r="A11" s="74" t="s">
        <v>24</v>
      </c>
      <c r="B11" s="73" t="s">
        <v>68</v>
      </c>
      <c r="C11" s="74">
        <v>0.017</v>
      </c>
      <c r="D11" s="74">
        <v>0.0416</v>
      </c>
      <c r="E11" s="74">
        <v>0.0779</v>
      </c>
      <c r="F11" s="74">
        <v>0.04825</v>
      </c>
      <c r="G11" s="74">
        <v>0.0459</v>
      </c>
      <c r="H11" s="74">
        <v>0.013</v>
      </c>
      <c r="K11" s="74">
        <v>1994</v>
      </c>
      <c r="L11" s="74">
        <v>0.21</v>
      </c>
      <c r="M11" s="74">
        <v>0.02</v>
      </c>
      <c r="P11" s="74">
        <v>1993</v>
      </c>
      <c r="Q11" s="74">
        <v>18</v>
      </c>
      <c r="R11" s="74">
        <v>4.2</v>
      </c>
    </row>
    <row r="12" spans="1:18" ht="12.75">
      <c r="A12" s="74" t="s">
        <v>56</v>
      </c>
      <c r="B12" s="73" t="s">
        <v>68</v>
      </c>
      <c r="C12" s="74">
        <v>0.00347</v>
      </c>
      <c r="D12" s="74">
        <v>0.00825</v>
      </c>
      <c r="E12" s="74">
        <v>0.025</v>
      </c>
      <c r="F12" s="74">
        <v>0.01513</v>
      </c>
      <c r="G12" s="74">
        <v>0.01389</v>
      </c>
      <c r="H12" s="74">
        <v>0.00323</v>
      </c>
      <c r="K12" s="74">
        <v>1995</v>
      </c>
      <c r="L12" s="74">
        <v>0.08</v>
      </c>
      <c r="M12" s="74">
        <v>0.01</v>
      </c>
      <c r="P12" s="74">
        <v>1994</v>
      </c>
      <c r="Q12" s="74">
        <v>12</v>
      </c>
      <c r="R12" s="74">
        <v>3</v>
      </c>
    </row>
    <row r="13" spans="1:18" ht="12.75">
      <c r="A13" s="74" t="s">
        <v>26</v>
      </c>
      <c r="B13" s="73" t="s">
        <v>70</v>
      </c>
      <c r="C13" s="74">
        <v>5.765</v>
      </c>
      <c r="D13" s="74">
        <v>18.75</v>
      </c>
      <c r="E13" s="74">
        <v>73.3</v>
      </c>
      <c r="F13" s="74">
        <v>17.25</v>
      </c>
      <c r="G13" s="74">
        <v>26.89</v>
      </c>
      <c r="H13" s="74">
        <v>4.712</v>
      </c>
      <c r="K13" s="74">
        <v>1996</v>
      </c>
      <c r="L13" s="74">
        <v>0.08</v>
      </c>
      <c r="M13" s="74">
        <v>0.02</v>
      </c>
      <c r="P13" s="74">
        <v>1995</v>
      </c>
      <c r="Q13" s="74">
        <v>9</v>
      </c>
      <c r="R13" s="74">
        <v>3.8</v>
      </c>
    </row>
    <row r="14" spans="1:18" ht="12.75">
      <c r="A14" s="74" t="s">
        <v>57</v>
      </c>
      <c r="B14" s="73" t="s">
        <v>71</v>
      </c>
      <c r="H14" s="74">
        <v>3.382</v>
      </c>
      <c r="K14" s="78" t="s">
        <v>81</v>
      </c>
      <c r="L14" s="74">
        <v>0.101</v>
      </c>
      <c r="M14" s="74">
        <v>0.03200000000000001</v>
      </c>
      <c r="P14" s="74">
        <v>1996</v>
      </c>
      <c r="Q14" s="74">
        <v>34</v>
      </c>
      <c r="R14" s="74">
        <v>3.9</v>
      </c>
    </row>
    <row r="15" spans="1:18" ht="12.75">
      <c r="A15" s="74" t="s">
        <v>58</v>
      </c>
      <c r="B15" s="73" t="s">
        <v>72</v>
      </c>
      <c r="H15" s="74">
        <v>10.4</v>
      </c>
      <c r="K15" s="74">
        <v>1997</v>
      </c>
      <c r="L15" s="74">
        <v>0.06</v>
      </c>
      <c r="M15" s="74">
        <v>0.017</v>
      </c>
      <c r="P15" s="74" t="s">
        <v>88</v>
      </c>
      <c r="Q15" s="74">
        <f>AVERAGE(Q5:Q14)</f>
        <v>22.2</v>
      </c>
      <c r="R15" s="74">
        <v>5.1</v>
      </c>
    </row>
    <row r="16" spans="1:18" ht="12.75">
      <c r="A16" s="74" t="s">
        <v>59</v>
      </c>
      <c r="B16" s="73" t="s">
        <v>72</v>
      </c>
      <c r="H16" s="74">
        <v>3.1</v>
      </c>
      <c r="K16" s="114" t="s">
        <v>82</v>
      </c>
      <c r="L16" s="114"/>
      <c r="M16" s="114"/>
      <c r="P16" s="74">
        <v>1997</v>
      </c>
      <c r="Q16" s="74">
        <f>0.013*1000</f>
        <v>13</v>
      </c>
      <c r="R16" s="74">
        <v>3.4</v>
      </c>
    </row>
    <row r="17" spans="11:13" ht="12.75">
      <c r="K17" s="74">
        <v>1987</v>
      </c>
      <c r="L17" s="74">
        <v>0.01</v>
      </c>
      <c r="M17" s="74">
        <v>0.09</v>
      </c>
    </row>
    <row r="18" spans="1:13" ht="12.75">
      <c r="A18" s="74" t="s">
        <v>60</v>
      </c>
      <c r="B18" s="74">
        <v>0</v>
      </c>
      <c r="C18" s="74" t="s">
        <v>61</v>
      </c>
      <c r="K18" s="74">
        <v>1988</v>
      </c>
      <c r="L18" s="74">
        <v>0.06</v>
      </c>
      <c r="M18" s="74">
        <v>0.01</v>
      </c>
    </row>
    <row r="19" spans="2:13" ht="12.75">
      <c r="B19" s="74">
        <v>1</v>
      </c>
      <c r="C19" s="74" t="s">
        <v>62</v>
      </c>
      <c r="K19" s="74">
        <v>1989</v>
      </c>
      <c r="L19" s="74">
        <v>0.06</v>
      </c>
      <c r="M19" s="74">
        <v>0.01</v>
      </c>
    </row>
    <row r="20" spans="2:13" ht="12.75">
      <c r="B20" s="74">
        <v>2</v>
      </c>
      <c r="C20" s="74" t="s">
        <v>63</v>
      </c>
      <c r="K20" s="74">
        <v>1990</v>
      </c>
      <c r="L20" s="74">
        <v>0.04</v>
      </c>
      <c r="M20" s="74">
        <v>0.01</v>
      </c>
    </row>
    <row r="21" spans="2:13" ht="12.75">
      <c r="B21" s="78" t="s">
        <v>48</v>
      </c>
      <c r="C21" s="74" t="s">
        <v>64</v>
      </c>
      <c r="K21" s="74">
        <v>1991</v>
      </c>
      <c r="L21" s="74">
        <v>0.11</v>
      </c>
      <c r="M21" s="74">
        <v>0.03</v>
      </c>
    </row>
    <row r="22" spans="2:13" ht="12.75">
      <c r="B22" s="78" t="s">
        <v>73</v>
      </c>
      <c r="C22" s="74" t="s">
        <v>76</v>
      </c>
      <c r="K22" s="74">
        <v>1992</v>
      </c>
      <c r="L22" s="74">
        <v>0.08</v>
      </c>
      <c r="M22" s="74">
        <v>0.01</v>
      </c>
    </row>
    <row r="23" spans="2:13" ht="12.75">
      <c r="B23" s="74">
        <v>7</v>
      </c>
      <c r="C23" s="74" t="s">
        <v>65</v>
      </c>
      <c r="K23" s="74">
        <v>1993</v>
      </c>
      <c r="L23" s="74">
        <v>0.33</v>
      </c>
      <c r="M23" s="74">
        <v>0.01</v>
      </c>
    </row>
    <row r="24" spans="11:13" ht="12.75">
      <c r="K24" s="74">
        <v>1994</v>
      </c>
      <c r="L24" s="74">
        <v>0.07</v>
      </c>
      <c r="M24" s="74">
        <v>0.02</v>
      </c>
    </row>
    <row r="25" spans="11:13" ht="12.75">
      <c r="K25" s="74">
        <v>1995</v>
      </c>
      <c r="L25" s="74">
        <v>0.13</v>
      </c>
      <c r="M25" s="74">
        <v>0.01</v>
      </c>
    </row>
    <row r="26" spans="11:13" ht="12.75">
      <c r="K26" s="74">
        <v>1996</v>
      </c>
      <c r="L26" s="74">
        <v>0.08</v>
      </c>
      <c r="M26" s="74">
        <v>0.05</v>
      </c>
    </row>
    <row r="27" spans="11:13" ht="12.75">
      <c r="K27" s="78" t="s">
        <v>81</v>
      </c>
      <c r="L27" s="74">
        <v>0.097</v>
      </c>
      <c r="M27" s="74">
        <v>0.025</v>
      </c>
    </row>
    <row r="28" spans="11:13" ht="12.75">
      <c r="K28" s="74">
        <v>1997</v>
      </c>
      <c r="L28" s="74">
        <v>0.0857</v>
      </c>
      <c r="M28" s="74">
        <v>0.0416</v>
      </c>
    </row>
    <row r="29" spans="11:13" ht="12.75">
      <c r="K29" s="114" t="s">
        <v>83</v>
      </c>
      <c r="L29" s="114"/>
      <c r="M29" s="114"/>
    </row>
    <row r="30" spans="11:13" ht="12.75">
      <c r="K30" s="74">
        <v>1987</v>
      </c>
      <c r="L30" s="74">
        <v>0.84</v>
      </c>
      <c r="M30" s="74">
        <v>0.42</v>
      </c>
    </row>
    <row r="31" spans="11:13" ht="12.75">
      <c r="K31" s="74">
        <v>1988</v>
      </c>
      <c r="L31" s="74">
        <v>0.53</v>
      </c>
      <c r="M31" s="74">
        <v>0.21</v>
      </c>
    </row>
    <row r="32" spans="11:13" ht="12.75">
      <c r="K32" s="74">
        <v>1989</v>
      </c>
      <c r="L32" s="74">
        <v>1.06</v>
      </c>
      <c r="M32" s="74">
        <v>0.07</v>
      </c>
    </row>
    <row r="33" spans="11:13" ht="12.75">
      <c r="K33" s="74">
        <v>1990</v>
      </c>
      <c r="L33" s="74">
        <v>0.64</v>
      </c>
      <c r="M33" s="74">
        <v>0.09</v>
      </c>
    </row>
    <row r="34" spans="11:13" ht="12.75">
      <c r="K34" s="74">
        <v>1991</v>
      </c>
      <c r="L34" s="74">
        <v>0.6</v>
      </c>
      <c r="M34" s="74">
        <v>0.08</v>
      </c>
    </row>
    <row r="35" spans="11:13" ht="12.75">
      <c r="K35" s="74">
        <v>1992</v>
      </c>
      <c r="L35" s="74">
        <v>0.31</v>
      </c>
      <c r="M35" s="74">
        <v>0.09</v>
      </c>
    </row>
    <row r="36" spans="11:13" ht="12.75">
      <c r="K36" s="74">
        <v>1993</v>
      </c>
      <c r="L36" s="74">
        <v>0.4</v>
      </c>
      <c r="M36" s="74">
        <v>0.08</v>
      </c>
    </row>
    <row r="37" spans="11:13" ht="12.75">
      <c r="K37" s="74">
        <v>1994</v>
      </c>
      <c r="L37" s="74">
        <v>0.31</v>
      </c>
      <c r="M37" s="74">
        <v>0.09</v>
      </c>
    </row>
    <row r="38" spans="11:13" ht="12.75">
      <c r="K38" s="74">
        <v>1995</v>
      </c>
      <c r="L38" s="74">
        <v>0.56</v>
      </c>
      <c r="M38" s="74">
        <v>0.03</v>
      </c>
    </row>
    <row r="39" spans="11:13" ht="12.75">
      <c r="K39" s="74">
        <v>1996</v>
      </c>
      <c r="L39" s="74">
        <v>0.39</v>
      </c>
      <c r="M39" s="74">
        <v>0.05</v>
      </c>
    </row>
    <row r="40" spans="11:13" ht="12.75">
      <c r="K40" s="78" t="s">
        <v>81</v>
      </c>
      <c r="L40" s="74">
        <v>0.564</v>
      </c>
      <c r="M40" s="74">
        <v>0.121</v>
      </c>
    </row>
    <row r="41" spans="11:13" ht="12.75">
      <c r="K41" s="74">
        <v>1997</v>
      </c>
      <c r="L41" s="74">
        <v>0.2726</v>
      </c>
      <c r="M41" s="74">
        <v>0.0779</v>
      </c>
    </row>
  </sheetData>
  <mergeCells count="4">
    <mergeCell ref="K3:M3"/>
    <mergeCell ref="K16:M16"/>
    <mergeCell ref="K29:M29"/>
    <mergeCell ref="Q1:R1"/>
  </mergeCells>
  <printOptions gridLines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D30" sqref="D30"/>
    </sheetView>
  </sheetViews>
  <sheetFormatPr defaultColWidth="9.140625" defaultRowHeight="12.75"/>
  <cols>
    <col min="10" max="10" width="9.421875" style="0" customWidth="1"/>
  </cols>
  <sheetData>
    <row r="1" spans="1:8" ht="12.75">
      <c r="A1" s="74" t="s">
        <v>39</v>
      </c>
      <c r="B1" s="5"/>
      <c r="C1" s="5"/>
      <c r="D1" s="5"/>
      <c r="E1" s="5"/>
      <c r="F1" s="5"/>
      <c r="G1" s="5"/>
      <c r="H1" s="5"/>
    </row>
    <row r="2" spans="2:8" ht="12.75">
      <c r="B2" s="73" t="s">
        <v>22</v>
      </c>
      <c r="C2" s="73"/>
      <c r="D2" s="73"/>
      <c r="E2" s="73"/>
      <c r="F2" s="73"/>
      <c r="G2" s="73"/>
      <c r="H2" s="73"/>
    </row>
    <row r="3" spans="2:10" ht="12.75">
      <c r="B3" s="74" t="s">
        <v>11</v>
      </c>
      <c r="C3" s="74" t="s">
        <v>11</v>
      </c>
      <c r="D3" s="74" t="s">
        <v>11</v>
      </c>
      <c r="E3" s="74" t="s">
        <v>12</v>
      </c>
      <c r="F3" s="74" t="s">
        <v>12</v>
      </c>
      <c r="G3" s="74" t="s">
        <v>12</v>
      </c>
      <c r="H3" s="74" t="s">
        <v>13</v>
      </c>
      <c r="I3" s="74" t="s">
        <v>13</v>
      </c>
      <c r="J3" s="74" t="s">
        <v>13</v>
      </c>
    </row>
    <row r="4" spans="2:10" ht="12.75">
      <c r="B4" s="74" t="s">
        <v>16</v>
      </c>
      <c r="C4" s="74" t="s">
        <v>16</v>
      </c>
      <c r="D4" s="74" t="s">
        <v>265</v>
      </c>
      <c r="E4" s="74" t="s">
        <v>20</v>
      </c>
      <c r="F4" s="74" t="s">
        <v>20</v>
      </c>
      <c r="G4" s="74" t="s">
        <v>265</v>
      </c>
      <c r="H4" s="74" t="s">
        <v>17</v>
      </c>
      <c r="I4" s="74" t="s">
        <v>17</v>
      </c>
      <c r="J4" s="74" t="s">
        <v>265</v>
      </c>
    </row>
    <row r="5" spans="1:10" ht="12.75">
      <c r="A5" s="74" t="s">
        <v>8</v>
      </c>
      <c r="B5" s="75">
        <v>0.01</v>
      </c>
      <c r="C5" s="5">
        <v>31</v>
      </c>
      <c r="D5" s="5">
        <v>1.7855999999999999</v>
      </c>
      <c r="E5" s="75">
        <v>0.09</v>
      </c>
      <c r="F5" s="5">
        <v>45.8</v>
      </c>
      <c r="G5" s="5">
        <v>23.74272</v>
      </c>
      <c r="H5" s="75">
        <v>0.04</v>
      </c>
      <c r="I5" s="5">
        <v>0.7</v>
      </c>
      <c r="J5" s="5">
        <v>0.16127999999999998</v>
      </c>
    </row>
    <row r="6" spans="1:10" ht="12.75">
      <c r="A6" s="74" t="s">
        <v>9</v>
      </c>
      <c r="B6" s="75">
        <v>0.01</v>
      </c>
      <c r="C6" s="5">
        <v>27</v>
      </c>
      <c r="D6" s="5">
        <v>1.5552000000000001</v>
      </c>
      <c r="E6" s="75">
        <v>0.16</v>
      </c>
      <c r="F6" s="5">
        <v>32.4</v>
      </c>
      <c r="G6" s="5">
        <v>29.85984</v>
      </c>
      <c r="H6" s="75">
        <v>0.64</v>
      </c>
      <c r="I6" s="5">
        <v>31.7</v>
      </c>
      <c r="J6" s="5">
        <v>116.85888</v>
      </c>
    </row>
    <row r="7" spans="1:10" ht="12.75">
      <c r="A7" s="74" t="s">
        <v>10</v>
      </c>
      <c r="B7" s="75">
        <v>0.01</v>
      </c>
      <c r="C7" s="5">
        <v>66</v>
      </c>
      <c r="D7" s="5">
        <v>3.8016</v>
      </c>
      <c r="E7" s="75">
        <v>0.64</v>
      </c>
      <c r="F7" s="5">
        <v>37.4</v>
      </c>
      <c r="G7" s="5">
        <v>137.87135999999998</v>
      </c>
      <c r="H7" s="75">
        <v>0.33</v>
      </c>
      <c r="I7" s="5">
        <v>47.3</v>
      </c>
      <c r="J7" s="5">
        <v>89.90784</v>
      </c>
    </row>
    <row r="9" spans="2:8" ht="12.75">
      <c r="B9" s="72" t="s">
        <v>24</v>
      </c>
      <c r="C9" s="72"/>
      <c r="D9" s="74" t="s">
        <v>39</v>
      </c>
      <c r="E9" s="72"/>
      <c r="F9" s="72"/>
      <c r="G9" s="72"/>
      <c r="H9" s="72"/>
    </row>
    <row r="10" spans="2:10" ht="12.75">
      <c r="B10" s="74" t="s">
        <v>11</v>
      </c>
      <c r="C10" s="74" t="s">
        <v>11</v>
      </c>
      <c r="D10" s="74" t="s">
        <v>11</v>
      </c>
      <c r="E10" s="74" t="s">
        <v>12</v>
      </c>
      <c r="F10" s="74" t="s">
        <v>12</v>
      </c>
      <c r="G10" s="74" t="s">
        <v>12</v>
      </c>
      <c r="H10" s="74" t="s">
        <v>13</v>
      </c>
      <c r="I10" s="74" t="s">
        <v>13</v>
      </c>
      <c r="J10" s="74" t="s">
        <v>13</v>
      </c>
    </row>
    <row r="11" spans="2:10" ht="12.75">
      <c r="B11" s="74" t="s">
        <v>16</v>
      </c>
      <c r="C11" s="74" t="s">
        <v>16</v>
      </c>
      <c r="D11" s="74" t="s">
        <v>265</v>
      </c>
      <c r="E11" s="74" t="s">
        <v>20</v>
      </c>
      <c r="F11" s="74" t="s">
        <v>20</v>
      </c>
      <c r="G11" s="74" t="s">
        <v>265</v>
      </c>
      <c r="H11" s="74" t="s">
        <v>17</v>
      </c>
      <c r="I11" s="74" t="s">
        <v>17</v>
      </c>
      <c r="J11" s="74" t="s">
        <v>265</v>
      </c>
    </row>
    <row r="12" spans="1:10" ht="12.75">
      <c r="A12" s="74" t="s">
        <v>8</v>
      </c>
      <c r="B12" s="74">
        <v>0.05</v>
      </c>
      <c r="C12" s="5">
        <v>31</v>
      </c>
      <c r="D12" s="5">
        <v>8.927999999999999</v>
      </c>
      <c r="E12" s="74">
        <v>0.005</v>
      </c>
      <c r="F12" s="5">
        <v>45.8</v>
      </c>
      <c r="G12" s="5">
        <v>1.3190399999999998</v>
      </c>
      <c r="H12" s="74">
        <v>0.02</v>
      </c>
      <c r="I12" s="5">
        <v>0.7</v>
      </c>
      <c r="J12" s="5">
        <v>0.08063999999999999</v>
      </c>
    </row>
    <row r="13" spans="1:10" ht="12.75">
      <c r="A13" s="74" t="s">
        <v>9</v>
      </c>
      <c r="B13" s="74">
        <v>0.01</v>
      </c>
      <c r="C13" s="5">
        <v>27</v>
      </c>
      <c r="D13" s="5">
        <v>1.5552000000000001</v>
      </c>
      <c r="E13" s="74">
        <v>0.02</v>
      </c>
      <c r="F13" s="5">
        <v>32.4</v>
      </c>
      <c r="G13" s="5">
        <v>3.73248</v>
      </c>
      <c r="H13" s="74">
        <v>0.04</v>
      </c>
      <c r="I13" s="5">
        <v>31.7</v>
      </c>
      <c r="J13" s="5">
        <v>7.30368</v>
      </c>
    </row>
    <row r="14" spans="1:10" ht="12.75">
      <c r="A14" s="74" t="s">
        <v>10</v>
      </c>
      <c r="B14" s="74">
        <v>0.05</v>
      </c>
      <c r="C14" s="5">
        <v>66</v>
      </c>
      <c r="D14" s="5">
        <v>19.008</v>
      </c>
      <c r="E14" s="5">
        <v>0.01</v>
      </c>
      <c r="F14" s="5">
        <v>37.4</v>
      </c>
      <c r="G14" s="5">
        <v>2.1542399999999997</v>
      </c>
      <c r="H14" s="74">
        <v>0.07</v>
      </c>
      <c r="I14" s="5">
        <v>47.3</v>
      </c>
      <c r="J14" s="5">
        <v>19.07136</v>
      </c>
    </row>
    <row r="15" spans="3:7" ht="12.75">
      <c r="C15" s="5"/>
      <c r="E15" s="5"/>
      <c r="G15" s="5"/>
    </row>
    <row r="16" spans="2:8" ht="12.75">
      <c r="B16" s="72" t="s">
        <v>25</v>
      </c>
      <c r="C16" s="5"/>
      <c r="D16" s="74" t="s">
        <v>39</v>
      </c>
      <c r="E16" s="5"/>
      <c r="F16" s="72"/>
      <c r="G16" s="5"/>
      <c r="H16" s="72"/>
    </row>
    <row r="17" spans="2:10" ht="12.75">
      <c r="B17" s="74" t="s">
        <v>11</v>
      </c>
      <c r="C17" s="74" t="s">
        <v>11</v>
      </c>
      <c r="D17" s="74" t="s">
        <v>11</v>
      </c>
      <c r="E17" s="74" t="s">
        <v>12</v>
      </c>
      <c r="F17" s="74" t="s">
        <v>12</v>
      </c>
      <c r="G17" s="74" t="s">
        <v>12</v>
      </c>
      <c r="H17" s="74" t="s">
        <v>13</v>
      </c>
      <c r="I17" s="74" t="s">
        <v>13</v>
      </c>
      <c r="J17" s="74" t="s">
        <v>13</v>
      </c>
    </row>
    <row r="18" spans="2:10" ht="12.75">
      <c r="B18" s="74" t="s">
        <v>16</v>
      </c>
      <c r="C18" s="74" t="s">
        <v>16</v>
      </c>
      <c r="D18" s="74" t="s">
        <v>265</v>
      </c>
      <c r="E18" s="74" t="s">
        <v>20</v>
      </c>
      <c r="F18" s="74" t="s">
        <v>20</v>
      </c>
      <c r="G18" s="74" t="s">
        <v>265</v>
      </c>
      <c r="H18" s="74" t="s">
        <v>17</v>
      </c>
      <c r="I18" s="74" t="s">
        <v>17</v>
      </c>
      <c r="J18" s="74" t="s">
        <v>265</v>
      </c>
    </row>
    <row r="19" spans="1:10" ht="12.75">
      <c r="A19" s="74" t="s">
        <v>8</v>
      </c>
      <c r="B19" s="75">
        <v>0.1</v>
      </c>
      <c r="C19" s="5">
        <v>31</v>
      </c>
      <c r="D19" s="5">
        <v>17.855999999999998</v>
      </c>
      <c r="E19" s="75">
        <v>0.01</v>
      </c>
      <c r="F19" s="5">
        <v>45.8</v>
      </c>
      <c r="G19" s="5">
        <v>2.6380799999999995</v>
      </c>
      <c r="H19" s="75">
        <v>0.025</v>
      </c>
      <c r="I19" s="5">
        <v>0.7</v>
      </c>
      <c r="J19" s="5">
        <v>0.10079999999999999</v>
      </c>
    </row>
    <row r="20" spans="1:10" ht="12.75">
      <c r="A20" s="74" t="s">
        <v>9</v>
      </c>
      <c r="B20" s="75">
        <v>0.07</v>
      </c>
      <c r="C20" s="5">
        <v>27</v>
      </c>
      <c r="D20" s="5">
        <v>10.8864</v>
      </c>
      <c r="E20" s="75">
        <v>0.09</v>
      </c>
      <c r="F20" s="5">
        <v>32.4</v>
      </c>
      <c r="G20" s="5">
        <v>16.79616</v>
      </c>
      <c r="H20" s="75">
        <v>0.09</v>
      </c>
      <c r="I20" s="5">
        <v>31.7</v>
      </c>
      <c r="J20" s="5">
        <v>16.433279999999996</v>
      </c>
    </row>
    <row r="21" spans="1:10" ht="12.75">
      <c r="A21" s="74" t="s">
        <v>10</v>
      </c>
      <c r="B21" s="75">
        <v>0.06</v>
      </c>
      <c r="C21" s="5">
        <v>66</v>
      </c>
      <c r="D21" s="5">
        <v>22.8096</v>
      </c>
      <c r="E21" s="75">
        <v>0.06</v>
      </c>
      <c r="F21" s="5">
        <v>37.4</v>
      </c>
      <c r="G21" s="5">
        <v>12.925439999999998</v>
      </c>
      <c r="H21" s="75">
        <v>0.075</v>
      </c>
      <c r="I21" s="5">
        <v>47.3</v>
      </c>
      <c r="J21" s="5">
        <v>20.4336</v>
      </c>
    </row>
    <row r="23" spans="2:8" ht="12.75">
      <c r="B23" s="72" t="s">
        <v>26</v>
      </c>
      <c r="C23" s="72"/>
      <c r="D23" s="74" t="s">
        <v>42</v>
      </c>
      <c r="E23" s="72"/>
      <c r="F23" s="72"/>
      <c r="G23" s="72"/>
      <c r="H23" s="72"/>
    </row>
    <row r="24" spans="2:10" ht="12.75">
      <c r="B24" s="74" t="s">
        <v>11</v>
      </c>
      <c r="C24" s="74" t="s">
        <v>11</v>
      </c>
      <c r="D24" s="74" t="s">
        <v>11</v>
      </c>
      <c r="E24" s="74" t="s">
        <v>12</v>
      </c>
      <c r="F24" s="74" t="s">
        <v>12</v>
      </c>
      <c r="G24" s="74" t="s">
        <v>12</v>
      </c>
      <c r="H24" s="74" t="s">
        <v>13</v>
      </c>
      <c r="I24" s="74" t="s">
        <v>13</v>
      </c>
      <c r="J24" s="74" t="s">
        <v>13</v>
      </c>
    </row>
    <row r="25" spans="2:10" ht="12.75">
      <c r="B25" s="74" t="s">
        <v>16</v>
      </c>
      <c r="C25" s="74" t="s">
        <v>16</v>
      </c>
      <c r="D25" s="74" t="s">
        <v>265</v>
      </c>
      <c r="E25" s="74" t="s">
        <v>20</v>
      </c>
      <c r="F25" s="74" t="s">
        <v>20</v>
      </c>
      <c r="G25" s="74" t="s">
        <v>265</v>
      </c>
      <c r="H25" s="74" t="s">
        <v>17</v>
      </c>
      <c r="I25" s="74" t="s">
        <v>17</v>
      </c>
      <c r="J25" s="74" t="s">
        <v>265</v>
      </c>
    </row>
    <row r="26" spans="1:10" ht="12.75">
      <c r="A26" s="74" t="s">
        <v>8</v>
      </c>
      <c r="B26" s="77">
        <v>8</v>
      </c>
      <c r="C26" s="5">
        <v>31</v>
      </c>
      <c r="D26" s="5">
        <v>1337.96</v>
      </c>
      <c r="E26" s="77">
        <v>8</v>
      </c>
      <c r="F26" s="5">
        <v>45.8</v>
      </c>
      <c r="G26" s="5">
        <v>1976.7279999999996</v>
      </c>
      <c r="H26" s="77">
        <v>2.5</v>
      </c>
      <c r="I26" s="5">
        <v>0.7</v>
      </c>
      <c r="J26" s="5">
        <v>9.44125</v>
      </c>
    </row>
    <row r="27" spans="1:10" ht="12.75">
      <c r="A27" s="74" t="s">
        <v>9</v>
      </c>
      <c r="B27" s="77">
        <v>8</v>
      </c>
      <c r="C27" s="5">
        <v>27</v>
      </c>
      <c r="D27" s="5">
        <v>1165.32</v>
      </c>
      <c r="E27" s="77">
        <v>18</v>
      </c>
      <c r="F27" s="5">
        <v>32.4</v>
      </c>
      <c r="G27" s="5">
        <v>3146.3639999999996</v>
      </c>
      <c r="H27" s="77">
        <v>30</v>
      </c>
      <c r="I27" s="5">
        <v>31.7</v>
      </c>
      <c r="J27" s="5">
        <v>5130.6449999999995</v>
      </c>
    </row>
    <row r="28" spans="1:10" ht="12.75">
      <c r="A28" s="74" t="s">
        <v>10</v>
      </c>
      <c r="B28" s="77">
        <v>2.5</v>
      </c>
      <c r="C28" s="5">
        <v>66</v>
      </c>
      <c r="D28" s="5">
        <v>890.175</v>
      </c>
      <c r="E28" s="77">
        <v>2.5</v>
      </c>
      <c r="F28" s="5">
        <v>37.4</v>
      </c>
      <c r="G28" s="5">
        <v>504.4325</v>
      </c>
      <c r="H28" s="77">
        <v>49</v>
      </c>
      <c r="I28" s="5">
        <v>47.3</v>
      </c>
      <c r="J28" s="5">
        <v>12503.991499999998</v>
      </c>
    </row>
    <row r="32" spans="3:7" ht="12.75">
      <c r="C32" s="5"/>
      <c r="E32" s="5"/>
      <c r="G32" s="5"/>
    </row>
    <row r="33" spans="3:7" ht="12.75">
      <c r="C33" s="5"/>
      <c r="E33" s="5"/>
      <c r="G33" s="5"/>
    </row>
    <row r="34" spans="3:7" ht="12.75">
      <c r="C34" s="5"/>
      <c r="E34" s="5"/>
      <c r="G34" s="5"/>
    </row>
    <row r="49" spans="3:7" ht="12.75">
      <c r="C49" s="5">
        <v>27</v>
      </c>
      <c r="E49" s="5">
        <v>27</v>
      </c>
      <c r="G49" s="5">
        <v>27</v>
      </c>
    </row>
    <row r="50" spans="3:7" ht="12.75">
      <c r="C50" s="5">
        <v>27</v>
      </c>
      <c r="E50" s="5">
        <v>27</v>
      </c>
      <c r="G50" s="5">
        <v>27</v>
      </c>
    </row>
    <row r="51" spans="3:7" ht="12.75">
      <c r="C51" s="5">
        <v>27</v>
      </c>
      <c r="E51" s="5">
        <v>27</v>
      </c>
      <c r="G51" s="5">
        <v>27</v>
      </c>
    </row>
    <row r="66" spans="3:7" ht="12.75">
      <c r="C66" s="5">
        <v>27</v>
      </c>
      <c r="E66" s="5">
        <v>27</v>
      </c>
      <c r="G66" s="5">
        <v>27</v>
      </c>
    </row>
    <row r="67" spans="3:7" ht="12.75">
      <c r="C67" s="5">
        <v>27</v>
      </c>
      <c r="E67" s="5">
        <v>27</v>
      </c>
      <c r="G67" s="5">
        <v>27</v>
      </c>
    </row>
    <row r="68" spans="3:7" ht="12.75">
      <c r="C68" s="5">
        <v>27</v>
      </c>
      <c r="E68" s="5">
        <v>27</v>
      </c>
      <c r="G68" s="5">
        <v>27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1">
      <selection activeCell="D19" sqref="D19"/>
    </sheetView>
  </sheetViews>
  <sheetFormatPr defaultColWidth="9.140625" defaultRowHeight="12.75"/>
  <cols>
    <col min="1" max="1" width="9.140625" style="74" customWidth="1"/>
    <col min="6" max="6" width="10.00390625" style="0" customWidth="1"/>
    <col min="7" max="7" width="9.57421875" style="0" bestFit="1" customWidth="1"/>
    <col min="8" max="9" width="10.57421875" style="0" bestFit="1" customWidth="1"/>
  </cols>
  <sheetData>
    <row r="1" ht="12.75">
      <c r="A1" s="6">
        <v>1997</v>
      </c>
    </row>
    <row r="2" spans="1:9" ht="12.75">
      <c r="A2" s="46" t="s">
        <v>37</v>
      </c>
      <c r="B2" t="s">
        <v>11</v>
      </c>
      <c r="C2" t="s">
        <v>12</v>
      </c>
      <c r="D2" t="s">
        <v>13</v>
      </c>
      <c r="F2" s="46" t="s">
        <v>34</v>
      </c>
      <c r="G2" t="s">
        <v>11</v>
      </c>
      <c r="H2" t="s">
        <v>12</v>
      </c>
      <c r="I2" t="s">
        <v>13</v>
      </c>
    </row>
    <row r="3" spans="2:9" ht="12.75">
      <c r="B3" t="s">
        <v>263</v>
      </c>
      <c r="C3" t="s">
        <v>263</v>
      </c>
      <c r="D3" t="s">
        <v>263</v>
      </c>
      <c r="F3" s="74"/>
      <c r="G3" t="s">
        <v>263</v>
      </c>
      <c r="H3" t="s">
        <v>263</v>
      </c>
      <c r="I3" t="s">
        <v>263</v>
      </c>
    </row>
    <row r="4" spans="1:9" ht="12.75">
      <c r="A4" s="74" t="s">
        <v>0</v>
      </c>
      <c r="B4" s="83">
        <v>656.0870400000001</v>
      </c>
      <c r="C4" s="83">
        <v>1555.5859199999998</v>
      </c>
      <c r="D4" s="83">
        <v>1156.7808</v>
      </c>
      <c r="F4" s="74" t="s">
        <v>0</v>
      </c>
      <c r="G4" s="83">
        <v>1114.9435636363637</v>
      </c>
      <c r="H4" s="83">
        <v>1063.9230945454544</v>
      </c>
      <c r="I4" s="83">
        <v>184.8026225454545</v>
      </c>
    </row>
    <row r="5" spans="1:9" ht="12.75">
      <c r="A5" s="74" t="s">
        <v>1</v>
      </c>
      <c r="B5" s="83">
        <v>3377.28384</v>
      </c>
      <c r="C5" s="83">
        <v>66.78143999999999</v>
      </c>
      <c r="D5" s="83">
        <v>39.283199999999994</v>
      </c>
      <c r="F5" s="74" t="s">
        <v>1</v>
      </c>
      <c r="G5" s="83">
        <v>155.63520000000003</v>
      </c>
      <c r="H5" s="83">
        <v>150.79680000000002</v>
      </c>
      <c r="I5" s="83">
        <v>177.40800000000002</v>
      </c>
    </row>
    <row r="6" spans="1:9" ht="12.75">
      <c r="A6" s="74" t="s">
        <v>2</v>
      </c>
      <c r="B6" s="83">
        <v>17.28</v>
      </c>
      <c r="C6" s="83">
        <v>313.8911999999999</v>
      </c>
      <c r="D6" s="83">
        <v>4719.340799999999</v>
      </c>
      <c r="F6" s="74" t="s">
        <v>2</v>
      </c>
      <c r="G6" s="83">
        <v>44.64</v>
      </c>
      <c r="H6" s="83">
        <v>243.26567999999995</v>
      </c>
      <c r="I6" s="83">
        <v>755.0945279999999</v>
      </c>
    </row>
    <row r="7" spans="1:9" ht="12.75">
      <c r="A7" s="74" t="s">
        <v>3</v>
      </c>
      <c r="B7" s="83">
        <v>269.62559999999996</v>
      </c>
      <c r="C7" s="83">
        <v>510.38027999999997</v>
      </c>
      <c r="D7" s="83">
        <v>3814.9492800000003</v>
      </c>
      <c r="F7" s="74" t="s">
        <v>3</v>
      </c>
      <c r="G7" s="83">
        <v>652.32</v>
      </c>
      <c r="H7" s="83">
        <v>383.211</v>
      </c>
      <c r="I7" s="83">
        <v>519.984</v>
      </c>
    </row>
    <row r="8" spans="1:9" ht="12.75">
      <c r="A8" s="74" t="s">
        <v>4</v>
      </c>
      <c r="B8" s="83">
        <v>1332.288</v>
      </c>
      <c r="C8" s="83">
        <v>2016.96</v>
      </c>
      <c r="D8" s="83">
        <v>1071.4896</v>
      </c>
      <c r="F8" s="74" t="s">
        <v>4</v>
      </c>
      <c r="G8" s="83">
        <v>3441.7440000000006</v>
      </c>
      <c r="H8" s="83">
        <v>4642.063999999999</v>
      </c>
      <c r="I8" s="83">
        <v>325.64880000000005</v>
      </c>
    </row>
    <row r="9" spans="1:9" ht="12.75">
      <c r="A9" s="74" t="s">
        <v>5</v>
      </c>
      <c r="B9" s="83">
        <v>2008.8</v>
      </c>
      <c r="C9" s="83">
        <v>4871.1168</v>
      </c>
      <c r="D9" s="83">
        <v>9.410112</v>
      </c>
      <c r="F9" s="74" t="s">
        <v>5</v>
      </c>
      <c r="G9" s="83">
        <v>1620</v>
      </c>
      <c r="H9" s="83">
        <v>1964.16</v>
      </c>
      <c r="I9" s="83">
        <v>11.249279999999997</v>
      </c>
    </row>
    <row r="10" spans="1:9" ht="12.75">
      <c r="A10" s="74" t="s">
        <v>6</v>
      </c>
      <c r="B10" s="83">
        <v>3794.4</v>
      </c>
      <c r="C10" s="83">
        <v>6059.135999999999</v>
      </c>
      <c r="D10" s="83">
        <v>2070.0014399999995</v>
      </c>
      <c r="F10" s="74" t="s">
        <v>6</v>
      </c>
      <c r="G10" s="83">
        <v>4743</v>
      </c>
      <c r="H10" s="83">
        <v>3635.4815999999996</v>
      </c>
      <c r="I10" s="83">
        <v>226.03463999999997</v>
      </c>
    </row>
    <row r="11" spans="1:9" ht="12.75">
      <c r="A11" s="74" t="s">
        <v>7</v>
      </c>
      <c r="B11" s="83">
        <v>259.2</v>
      </c>
      <c r="C11" s="83">
        <v>365.2992</v>
      </c>
      <c r="D11" s="83">
        <v>44.928000000000004</v>
      </c>
      <c r="F11" s="74" t="s">
        <v>7</v>
      </c>
      <c r="G11" s="83">
        <v>1607.04</v>
      </c>
      <c r="H11" s="83">
        <v>684.1749599999999</v>
      </c>
      <c r="I11" s="83">
        <v>17.4096</v>
      </c>
    </row>
    <row r="12" spans="1:9" ht="12.75">
      <c r="A12" s="74" t="s">
        <v>8</v>
      </c>
      <c r="B12" s="83">
        <v>55.35359999999999</v>
      </c>
      <c r="C12" s="83">
        <v>736.02432</v>
      </c>
      <c r="D12" s="83">
        <v>4.99968</v>
      </c>
      <c r="F12" s="74" t="s">
        <v>8</v>
      </c>
      <c r="G12" s="83">
        <v>553.536</v>
      </c>
      <c r="H12" s="83">
        <v>81.78047999999998</v>
      </c>
      <c r="I12" s="83">
        <v>3.1247999999999996</v>
      </c>
    </row>
    <row r="13" spans="1:9" ht="12.75">
      <c r="A13" s="74" t="s">
        <v>9</v>
      </c>
      <c r="B13" s="83">
        <v>46.656000000000006</v>
      </c>
      <c r="C13" s="83">
        <v>895.7951999999999</v>
      </c>
      <c r="D13" s="83">
        <v>3505.7664</v>
      </c>
      <c r="F13" s="74" t="s">
        <v>9</v>
      </c>
      <c r="G13" s="83">
        <v>326.592</v>
      </c>
      <c r="H13" s="83">
        <v>503.88480000000004</v>
      </c>
      <c r="I13" s="83">
        <v>492.9983999999999</v>
      </c>
    </row>
    <row r="14" spans="1:9" ht="12.75">
      <c r="A14" s="74" t="s">
        <v>10</v>
      </c>
      <c r="B14" s="83">
        <v>117.84960000000001</v>
      </c>
      <c r="C14" s="83">
        <v>4274.012159999999</v>
      </c>
      <c r="D14" s="83">
        <v>2787.14304</v>
      </c>
      <c r="F14" s="74" t="s">
        <v>10</v>
      </c>
      <c r="G14" s="83">
        <v>707.0975999999999</v>
      </c>
      <c r="H14" s="83">
        <v>400.68863999999996</v>
      </c>
      <c r="I14" s="83">
        <v>633.4416</v>
      </c>
    </row>
    <row r="15" spans="1:9" ht="12.75">
      <c r="A15" s="7" t="s">
        <v>264</v>
      </c>
      <c r="B15" s="46">
        <f>SUM(B4:B14)</f>
        <v>11934.823680000003</v>
      </c>
      <c r="C15" s="46">
        <f>SUM(C4:C14)</f>
        <v>21664.982519999994</v>
      </c>
      <c r="D15" s="46">
        <f>SUM(D4:D14)</f>
        <v>19224.092352</v>
      </c>
      <c r="F15" s="7" t="s">
        <v>264</v>
      </c>
      <c r="G15" s="46">
        <f>SUM(G4:G14)</f>
        <v>14966.548363636366</v>
      </c>
      <c r="H15" s="46">
        <f>SUM(H4:H14)</f>
        <v>13753.431054545454</v>
      </c>
      <c r="I15" s="46">
        <f>SUM(I4:I14)</f>
        <v>3347.1962705454544</v>
      </c>
    </row>
    <row r="16" ht="12.75">
      <c r="F16" s="74"/>
    </row>
    <row r="17" spans="1:9" ht="12.75">
      <c r="A17" s="46" t="s">
        <v>36</v>
      </c>
      <c r="B17" t="s">
        <v>11</v>
      </c>
      <c r="C17" t="s">
        <v>260</v>
      </c>
      <c r="D17" t="s">
        <v>261</v>
      </c>
      <c r="F17" s="46" t="s">
        <v>40</v>
      </c>
      <c r="G17" t="s">
        <v>11</v>
      </c>
      <c r="H17" t="s">
        <v>12</v>
      </c>
      <c r="I17" t="s">
        <v>13</v>
      </c>
    </row>
    <row r="18" spans="2:9" ht="12.75">
      <c r="B18" t="s">
        <v>263</v>
      </c>
      <c r="C18" t="s">
        <v>263</v>
      </c>
      <c r="D18" t="s">
        <v>263</v>
      </c>
      <c r="F18" s="74"/>
      <c r="G18" t="s">
        <v>263</v>
      </c>
      <c r="H18" t="s">
        <v>263</v>
      </c>
      <c r="I18" t="s">
        <v>263</v>
      </c>
    </row>
    <row r="19" spans="1:9" ht="12.75">
      <c r="A19" s="74" t="s">
        <v>0</v>
      </c>
      <c r="B19" s="83">
        <v>687.8869789090909</v>
      </c>
      <c r="C19" s="83">
        <v>1139.299434181818</v>
      </c>
      <c r="D19" s="83">
        <v>484.7751451636364</v>
      </c>
      <c r="F19" s="74" t="s">
        <v>0</v>
      </c>
      <c r="G19" s="83">
        <v>96146.50204545454</v>
      </c>
      <c r="H19" s="83">
        <v>482573.9592834596</v>
      </c>
      <c r="I19" s="83">
        <v>473597.46455568174</v>
      </c>
    </row>
    <row r="20" spans="1:9" ht="12.75">
      <c r="A20" s="74" t="s">
        <v>1</v>
      </c>
      <c r="B20" s="83">
        <v>161.860608</v>
      </c>
      <c r="C20" s="83">
        <v>84.44620799999998</v>
      </c>
      <c r="D20" s="83">
        <v>31.933439999999997</v>
      </c>
      <c r="F20" s="74" t="s">
        <v>1</v>
      </c>
      <c r="G20" s="83">
        <v>58309.16</v>
      </c>
      <c r="H20" s="83">
        <v>14124.11</v>
      </c>
      <c r="I20" s="83">
        <v>2652009.36</v>
      </c>
    </row>
    <row r="21" spans="1:9" ht="12.75">
      <c r="A21" s="74" t="s">
        <v>2</v>
      </c>
      <c r="B21" s="83">
        <v>16.0704</v>
      </c>
      <c r="C21" s="83">
        <v>137.850552</v>
      </c>
      <c r="D21" s="83">
        <v>940.7219328</v>
      </c>
      <c r="F21" s="74" t="s">
        <v>2</v>
      </c>
      <c r="G21" s="83">
        <v>4181.125</v>
      </c>
      <c r="H21" s="83">
        <v>12658.355937499999</v>
      </c>
      <c r="I21" s="83">
        <v>713139.3697999999</v>
      </c>
    </row>
    <row r="22" spans="1:9" ht="12.75">
      <c r="A22" s="74" t="s">
        <v>3</v>
      </c>
      <c r="B22" s="83">
        <v>834.9696</v>
      </c>
      <c r="C22" s="83">
        <v>216.30131999999998</v>
      </c>
      <c r="D22" s="83">
        <v>2735.11584</v>
      </c>
      <c r="F22" s="74" t="s">
        <v>3</v>
      </c>
      <c r="G22" s="83">
        <v>61098.37499999999</v>
      </c>
      <c r="H22" s="83">
        <v>15952.340624999999</v>
      </c>
      <c r="I22" s="83">
        <v>879095.6931249999</v>
      </c>
    </row>
    <row r="23" spans="1:9" ht="12.75">
      <c r="A23" s="74" t="s">
        <v>4</v>
      </c>
      <c r="B23" s="83">
        <v>2202.71616</v>
      </c>
      <c r="C23" s="83">
        <v>4642.063999999999</v>
      </c>
      <c r="D23" s="83">
        <v>517.781592</v>
      </c>
      <c r="F23" s="74" t="s">
        <v>4</v>
      </c>
      <c r="G23" s="83">
        <v>322364.7375</v>
      </c>
      <c r="H23" s="83">
        <v>2697476.022222222</v>
      </c>
      <c r="I23" s="83">
        <v>350765.0290625</v>
      </c>
    </row>
    <row r="24" spans="1:9" ht="12.75">
      <c r="A24" s="74" t="s">
        <v>5</v>
      </c>
      <c r="B24" s="83">
        <v>1879.2</v>
      </c>
      <c r="C24" s="83">
        <v>1649.8944000000001</v>
      </c>
      <c r="D24" s="83">
        <v>3.856896</v>
      </c>
      <c r="F24" s="74" t="s">
        <v>5</v>
      </c>
      <c r="G24" s="83">
        <v>151734.375</v>
      </c>
      <c r="H24" s="83">
        <v>269821.93333333335</v>
      </c>
      <c r="I24" s="83">
        <v>250.8675</v>
      </c>
    </row>
    <row r="25" spans="1:9" ht="12.75">
      <c r="A25" s="74" t="s">
        <v>6</v>
      </c>
      <c r="B25" s="83">
        <v>2200.752</v>
      </c>
      <c r="C25" s="83">
        <v>3786.96</v>
      </c>
      <c r="D25" s="83">
        <v>1089.7248960000002</v>
      </c>
      <c r="F25" s="74" t="s">
        <v>6</v>
      </c>
      <c r="G25" s="83">
        <v>177697.8125</v>
      </c>
      <c r="H25" s="83">
        <v>1149224.0175</v>
      </c>
      <c r="I25" s="83">
        <v>601705.69875</v>
      </c>
    </row>
    <row r="26" spans="1:9" ht="12.75">
      <c r="A26" s="74" t="s">
        <v>7</v>
      </c>
      <c r="B26" s="83">
        <v>271.188</v>
      </c>
      <c r="C26" s="83">
        <v>2014.7772959999998</v>
      </c>
      <c r="D26" s="83">
        <v>13.392000000000001</v>
      </c>
      <c r="F26" s="74" t="s">
        <v>7</v>
      </c>
      <c r="G26" s="83">
        <v>282225.9375</v>
      </c>
      <c r="H26" s="83">
        <v>1149056.7725</v>
      </c>
      <c r="I26" s="83">
        <v>12606.091875</v>
      </c>
    </row>
    <row r="27" spans="1:9" ht="12.75">
      <c r="A27" s="74" t="s">
        <v>8</v>
      </c>
      <c r="B27" s="83">
        <v>276.768</v>
      </c>
      <c r="C27" s="83">
        <v>40.89023999999999</v>
      </c>
      <c r="D27" s="83">
        <v>21.7</v>
      </c>
      <c r="F27" s="74" t="s">
        <v>8</v>
      </c>
      <c r="G27" s="83">
        <v>41476.76</v>
      </c>
      <c r="H27" s="83">
        <v>61278.567999999985</v>
      </c>
      <c r="I27" s="83">
        <v>292.67875</v>
      </c>
    </row>
    <row r="28" spans="1:9" ht="12.75">
      <c r="A28" s="74" t="s">
        <v>9</v>
      </c>
      <c r="B28" s="83">
        <v>46.656000000000006</v>
      </c>
      <c r="C28" s="83">
        <v>111.97439999999999</v>
      </c>
      <c r="D28" s="83">
        <v>951</v>
      </c>
      <c r="F28" s="74" t="s">
        <v>9</v>
      </c>
      <c r="G28" s="83">
        <v>34959.6</v>
      </c>
      <c r="H28" s="83">
        <v>94390.92</v>
      </c>
      <c r="I28" s="83">
        <v>153919.35</v>
      </c>
    </row>
    <row r="29" spans="1:9" ht="12.75">
      <c r="A29" s="74" t="s">
        <v>10</v>
      </c>
      <c r="B29" s="83">
        <v>589.2479999999999</v>
      </c>
      <c r="C29" s="83">
        <v>66.78143999999999</v>
      </c>
      <c r="D29" s="83">
        <v>1466.3</v>
      </c>
      <c r="F29" s="74" t="s">
        <v>10</v>
      </c>
      <c r="G29" s="83">
        <v>27595.425</v>
      </c>
      <c r="H29" s="83">
        <v>15637.4075</v>
      </c>
      <c r="I29" s="83">
        <v>387623.73649999994</v>
      </c>
    </row>
    <row r="30" spans="1:9" ht="12.75">
      <c r="A30" s="7" t="s">
        <v>264</v>
      </c>
      <c r="B30" s="46">
        <f>SUM(B19:B29)</f>
        <v>9167.315746909091</v>
      </c>
      <c r="C30" s="46">
        <f>SUM(C19:C29)</f>
        <v>13891.239290181818</v>
      </c>
      <c r="D30" s="46">
        <f>SUM(D19:D29)</f>
        <v>8256.301741963636</v>
      </c>
      <c r="F30" s="7" t="s">
        <v>264</v>
      </c>
      <c r="G30" s="46">
        <f>SUM(G19:G29)</f>
        <v>1257789.8095454546</v>
      </c>
      <c r="H30" s="46">
        <f>SUM(H19:H29)</f>
        <v>5962194.406901514</v>
      </c>
      <c r="I30" s="46">
        <f>SUM(I19:I29)</f>
        <v>6225005.339918181</v>
      </c>
    </row>
    <row r="31" spans="3:6" ht="12.75">
      <c r="C31">
        <f>SUM(C30:D30)</f>
        <v>22147.541032145455</v>
      </c>
      <c r="F31" s="74"/>
    </row>
    <row r="49" spans="3:7" ht="12.75">
      <c r="C49">
        <v>0</v>
      </c>
      <c r="E49">
        <v>0</v>
      </c>
      <c r="G49">
        <v>0</v>
      </c>
    </row>
    <row r="50" spans="3:7" ht="12.75">
      <c r="C50">
        <v>0</v>
      </c>
      <c r="E50">
        <v>0</v>
      </c>
      <c r="G50">
        <v>0</v>
      </c>
    </row>
    <row r="51" spans="3:7" ht="12.75">
      <c r="C51">
        <v>0</v>
      </c>
      <c r="E51">
        <v>0</v>
      </c>
      <c r="G51">
        <v>0</v>
      </c>
    </row>
    <row r="66" spans="3:7" ht="12.75">
      <c r="C66">
        <v>0</v>
      </c>
      <c r="E66">
        <v>0</v>
      </c>
      <c r="G66">
        <v>0</v>
      </c>
    </row>
    <row r="67" spans="3:7" ht="12.75">
      <c r="C67">
        <v>0</v>
      </c>
      <c r="E67">
        <v>0</v>
      </c>
      <c r="G67">
        <v>0</v>
      </c>
    </row>
    <row r="68" spans="3:7" ht="12.75">
      <c r="C68">
        <v>0</v>
      </c>
      <c r="E68">
        <v>0</v>
      </c>
      <c r="G68">
        <v>0</v>
      </c>
    </row>
    <row r="69" ht="12.75">
      <c r="A69" s="74" t="s">
        <v>0</v>
      </c>
    </row>
    <row r="70" ht="12.75">
      <c r="A70" s="74" t="s">
        <v>1</v>
      </c>
    </row>
    <row r="71" ht="12.75">
      <c r="A71" s="74" t="s">
        <v>2</v>
      </c>
    </row>
    <row r="72" ht="12.75">
      <c r="A72" s="74" t="s">
        <v>3</v>
      </c>
    </row>
    <row r="73" ht="12.75">
      <c r="A73" s="74" t="s">
        <v>4</v>
      </c>
    </row>
    <row r="74" ht="12.75">
      <c r="A74" s="74" t="s">
        <v>5</v>
      </c>
    </row>
    <row r="75" ht="12.75">
      <c r="A75" s="74" t="s">
        <v>6</v>
      </c>
    </row>
    <row r="76" ht="12.75">
      <c r="A76" s="74" t="s">
        <v>7</v>
      </c>
    </row>
    <row r="77" ht="12.75">
      <c r="A77" s="74" t="s">
        <v>8</v>
      </c>
    </row>
    <row r="78" ht="12.75">
      <c r="A78" s="74" t="s">
        <v>9</v>
      </c>
    </row>
    <row r="79" ht="12.75">
      <c r="A79" s="74" t="s">
        <v>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C19">
      <selection activeCell="Q42" sqref="Q42"/>
    </sheetView>
  </sheetViews>
  <sheetFormatPr defaultColWidth="9.140625" defaultRowHeight="12.75"/>
  <cols>
    <col min="1" max="1" width="9.140625" style="74" customWidth="1"/>
    <col min="2" max="2" width="9.8515625" style="74" customWidth="1"/>
    <col min="3" max="3" width="10.57421875" style="74" bestFit="1" customWidth="1"/>
    <col min="4" max="4" width="9.57421875" style="74" bestFit="1" customWidth="1"/>
    <col min="5" max="5" width="11.57421875" style="74" bestFit="1" customWidth="1"/>
    <col min="6" max="6" width="11.00390625" style="74" bestFit="1" customWidth="1"/>
    <col min="7" max="7" width="11.57421875" style="74" bestFit="1" customWidth="1"/>
    <col min="8" max="8" width="10.57421875" style="74" bestFit="1" customWidth="1"/>
    <col min="9" max="16384" width="9.140625" style="74" customWidth="1"/>
  </cols>
  <sheetData>
    <row r="1" ht="12.75">
      <c r="A1" s="6">
        <v>1997</v>
      </c>
    </row>
    <row r="2" spans="1:7" ht="12.75">
      <c r="A2" s="72"/>
      <c r="B2" s="72" t="s">
        <v>11</v>
      </c>
      <c r="C2" s="72" t="s">
        <v>11</v>
      </c>
      <c r="D2" s="74" t="s">
        <v>12</v>
      </c>
      <c r="E2" s="74" t="s">
        <v>12</v>
      </c>
      <c r="F2" s="74" t="s">
        <v>13</v>
      </c>
      <c r="G2" s="74" t="s">
        <v>13</v>
      </c>
    </row>
    <row r="3" spans="2:7" ht="12.75">
      <c r="B3" s="74" t="s">
        <v>38</v>
      </c>
      <c r="C3" s="74" t="s">
        <v>37</v>
      </c>
      <c r="D3" s="74" t="s">
        <v>37</v>
      </c>
      <c r="E3" s="74" t="s">
        <v>37</v>
      </c>
      <c r="F3" s="74" t="s">
        <v>37</v>
      </c>
      <c r="G3" s="74" t="s">
        <v>37</v>
      </c>
    </row>
    <row r="4" spans="2:7" ht="12.75">
      <c r="B4" s="74" t="s">
        <v>35</v>
      </c>
      <c r="C4" s="74" t="s">
        <v>263</v>
      </c>
      <c r="D4" s="74" t="s">
        <v>35</v>
      </c>
      <c r="E4" s="74" t="s">
        <v>263</v>
      </c>
      <c r="F4" s="74" t="s">
        <v>35</v>
      </c>
      <c r="G4" s="74" t="s">
        <v>263</v>
      </c>
    </row>
    <row r="5" spans="1:7" ht="12.75">
      <c r="A5" s="7" t="s">
        <v>45</v>
      </c>
      <c r="B5" s="75">
        <f aca="true" t="shared" si="0" ref="B5:G5">AVERAGE(B6:B16)</f>
        <v>35.367447272727276</v>
      </c>
      <c r="C5" s="75">
        <f t="shared" si="0"/>
        <v>1084.983970909091</v>
      </c>
      <c r="D5" s="75">
        <f t="shared" si="0"/>
        <v>64.37355999999998</v>
      </c>
      <c r="E5" s="75">
        <f t="shared" si="0"/>
        <v>1969.5438654545449</v>
      </c>
      <c r="F5" s="75">
        <f t="shared" si="0"/>
        <v>57.652250181818175</v>
      </c>
      <c r="G5" s="75">
        <f t="shared" si="0"/>
        <v>1747.6447592727272</v>
      </c>
    </row>
    <row r="6" spans="1:7" ht="12.75">
      <c r="A6" s="74" t="s">
        <v>0</v>
      </c>
      <c r="B6" s="5">
        <v>23.431680000000004</v>
      </c>
      <c r="C6" s="5">
        <f>+B6*28</f>
        <v>656.0870400000001</v>
      </c>
      <c r="D6" s="5">
        <v>55.556639999999994</v>
      </c>
      <c r="E6" s="5">
        <f>+D6*28</f>
        <v>1555.5859199999998</v>
      </c>
      <c r="F6" s="5">
        <v>41.3136</v>
      </c>
      <c r="G6" s="5">
        <f>+F6*28</f>
        <v>1156.7808</v>
      </c>
    </row>
    <row r="7" spans="1:7" ht="12.75">
      <c r="A7" s="74" t="s">
        <v>1</v>
      </c>
      <c r="B7" s="5">
        <v>108.94464</v>
      </c>
      <c r="C7" s="5">
        <f>+B7*31</f>
        <v>3377.28384</v>
      </c>
      <c r="D7" s="5">
        <v>2.1542399999999997</v>
      </c>
      <c r="E7" s="5">
        <f>+D7*31</f>
        <v>66.78143999999999</v>
      </c>
      <c r="F7" s="5">
        <v>1.2671999999999999</v>
      </c>
      <c r="G7" s="5">
        <f>+F7*31</f>
        <v>39.283199999999994</v>
      </c>
    </row>
    <row r="8" spans="1:7" ht="12.75">
      <c r="A8" s="74" t="s">
        <v>2</v>
      </c>
      <c r="B8" s="5">
        <v>0.576</v>
      </c>
      <c r="C8" s="5">
        <f>+B8*30</f>
        <v>17.279999999999998</v>
      </c>
      <c r="D8" s="5">
        <v>10.463039999999998</v>
      </c>
      <c r="E8" s="5">
        <f>+D8*30</f>
        <v>313.8911999999999</v>
      </c>
      <c r="F8" s="5">
        <v>157.31135999999998</v>
      </c>
      <c r="G8" s="5">
        <f>+F8*30</f>
        <v>4719.340799999999</v>
      </c>
    </row>
    <row r="9" spans="1:7" ht="12.75">
      <c r="A9" s="74" t="s">
        <v>3</v>
      </c>
      <c r="B9" s="5">
        <v>8.6976</v>
      </c>
      <c r="C9" s="5">
        <f>+B9*31</f>
        <v>269.62559999999996</v>
      </c>
      <c r="D9" s="5">
        <v>16.46388</v>
      </c>
      <c r="E9" s="5">
        <f>+D9*31</f>
        <v>510.38027999999997</v>
      </c>
      <c r="F9" s="5">
        <v>123.06288</v>
      </c>
      <c r="G9" s="5">
        <f>+F9*31</f>
        <v>3814.9492800000003</v>
      </c>
    </row>
    <row r="10" spans="1:7" ht="12.75">
      <c r="A10" s="74" t="s">
        <v>4</v>
      </c>
      <c r="B10" s="5">
        <v>44.4096</v>
      </c>
      <c r="C10" s="5">
        <f>+B10*30</f>
        <v>1332.288</v>
      </c>
      <c r="D10" s="5">
        <v>67.23199999999999</v>
      </c>
      <c r="E10" s="5">
        <f>+D10*30</f>
        <v>2016.9599999999996</v>
      </c>
      <c r="F10" s="5">
        <v>35.71632</v>
      </c>
      <c r="G10" s="5">
        <f>+F10*30</f>
        <v>1071.4896</v>
      </c>
    </row>
    <row r="11" spans="1:7" ht="12.75">
      <c r="A11" s="74" t="s">
        <v>5</v>
      </c>
      <c r="B11" s="5">
        <v>64.8</v>
      </c>
      <c r="C11" s="5">
        <f>+B11*31</f>
        <v>2008.8</v>
      </c>
      <c r="D11" s="5">
        <v>157.1328</v>
      </c>
      <c r="E11" s="5">
        <f>+D11*31</f>
        <v>4871.1168</v>
      </c>
      <c r="F11" s="5">
        <v>0.303552</v>
      </c>
      <c r="G11" s="5">
        <f>+F11*31</f>
        <v>9.410112</v>
      </c>
    </row>
    <row r="12" spans="1:7" ht="12.75">
      <c r="A12" s="74" t="s">
        <v>6</v>
      </c>
      <c r="B12" s="5">
        <v>122.4</v>
      </c>
      <c r="C12" s="5">
        <f>+B12*31</f>
        <v>3794.4</v>
      </c>
      <c r="D12" s="5">
        <v>195.45599999999996</v>
      </c>
      <c r="E12" s="5">
        <f>+D12*31</f>
        <v>6059.135999999999</v>
      </c>
      <c r="F12" s="5">
        <v>66.77423999999999</v>
      </c>
      <c r="G12" s="5">
        <f>+F12*31</f>
        <v>2070.0014399999995</v>
      </c>
    </row>
    <row r="13" spans="1:7" ht="12.75">
      <c r="A13" s="74" t="s">
        <v>7</v>
      </c>
      <c r="B13" s="5">
        <v>8.64</v>
      </c>
      <c r="C13" s="5">
        <f>+B13*30</f>
        <v>259.20000000000005</v>
      </c>
      <c r="D13" s="5">
        <v>12.176639999999999</v>
      </c>
      <c r="E13" s="5">
        <f>+D13*30</f>
        <v>365.2992</v>
      </c>
      <c r="F13" s="5">
        <v>1.4976</v>
      </c>
      <c r="G13" s="5">
        <f>+F13*30</f>
        <v>44.928000000000004</v>
      </c>
    </row>
    <row r="14" spans="1:7" ht="12.75">
      <c r="A14" s="74" t="s">
        <v>8</v>
      </c>
      <c r="B14" s="5">
        <v>1.7855999999999999</v>
      </c>
      <c r="C14" s="5">
        <f>+B14*31</f>
        <v>55.35359999999999</v>
      </c>
      <c r="D14" s="5">
        <v>23.74272</v>
      </c>
      <c r="E14" s="5">
        <f>+D14*31</f>
        <v>736.02432</v>
      </c>
      <c r="F14" s="5">
        <v>0.16127999999999998</v>
      </c>
      <c r="G14" s="5">
        <f>+F14*31</f>
        <v>4.99968</v>
      </c>
    </row>
    <row r="15" spans="1:7" ht="12.75">
      <c r="A15" s="74" t="s">
        <v>9</v>
      </c>
      <c r="B15" s="5">
        <v>1.5552000000000001</v>
      </c>
      <c r="C15" s="5">
        <f>+B15*30</f>
        <v>46.656000000000006</v>
      </c>
      <c r="D15" s="5">
        <v>29.85984</v>
      </c>
      <c r="E15" s="5">
        <f>+D15*30</f>
        <v>895.7951999999999</v>
      </c>
      <c r="F15" s="5">
        <v>116.85888</v>
      </c>
      <c r="G15" s="5">
        <f>+F15*30</f>
        <v>3505.7664</v>
      </c>
    </row>
    <row r="16" spans="1:7" ht="12.75">
      <c r="A16" s="74" t="s">
        <v>10</v>
      </c>
      <c r="B16" s="5">
        <v>3.8016</v>
      </c>
      <c r="C16" s="5">
        <f>+B16*31</f>
        <v>117.84960000000001</v>
      </c>
      <c r="D16" s="5">
        <v>137.87135999999998</v>
      </c>
      <c r="E16" s="5">
        <f>+D16*31</f>
        <v>4274.012159999999</v>
      </c>
      <c r="F16" s="5">
        <v>89.90784</v>
      </c>
      <c r="G16" s="5">
        <f>+F16*31</f>
        <v>2787.14304</v>
      </c>
    </row>
    <row r="17" spans="2:7" ht="12.75">
      <c r="B17" s="5"/>
      <c r="C17" s="5">
        <f>SUM(C6:C16)</f>
        <v>11934.823680000003</v>
      </c>
      <c r="D17" s="5"/>
      <c r="E17" s="5">
        <f>SUM(E6:E16)</f>
        <v>21664.982519999994</v>
      </c>
      <c r="F17" s="5"/>
      <c r="G17" s="5">
        <f>SUM(G6:G16)</f>
        <v>19224.092352</v>
      </c>
    </row>
    <row r="18" spans="1:10" ht="12.75">
      <c r="A18" s="74" t="s">
        <v>39</v>
      </c>
      <c r="J18" s="5"/>
    </row>
    <row r="20" spans="1:7" ht="12.75">
      <c r="A20" s="72"/>
      <c r="B20" s="72" t="s">
        <v>259</v>
      </c>
      <c r="C20" s="72" t="s">
        <v>11</v>
      </c>
      <c r="D20" s="74" t="s">
        <v>260</v>
      </c>
      <c r="E20" s="74" t="s">
        <v>260</v>
      </c>
      <c r="F20" s="74" t="s">
        <v>261</v>
      </c>
      <c r="G20" s="74" t="s">
        <v>261</v>
      </c>
    </row>
    <row r="21" spans="2:7" ht="12.75">
      <c r="B21" s="74" t="s">
        <v>43</v>
      </c>
      <c r="C21" s="74" t="s">
        <v>36</v>
      </c>
      <c r="D21" s="74" t="s">
        <v>36</v>
      </c>
      <c r="E21" s="74" t="s">
        <v>36</v>
      </c>
      <c r="F21" s="74" t="s">
        <v>36</v>
      </c>
      <c r="G21" s="74" t="s">
        <v>36</v>
      </c>
    </row>
    <row r="22" spans="2:7" ht="12.75">
      <c r="B22" s="74" t="s">
        <v>35</v>
      </c>
      <c r="C22" s="74" t="s">
        <v>263</v>
      </c>
      <c r="D22" s="74" t="s">
        <v>35</v>
      </c>
      <c r="E22" s="74" t="s">
        <v>263</v>
      </c>
      <c r="F22" s="74" t="s">
        <v>35</v>
      </c>
      <c r="G22" s="74" t="s">
        <v>263</v>
      </c>
    </row>
    <row r="23" spans="2:6" ht="12.75">
      <c r="B23" s="75">
        <f>SUM(B25:B35)</f>
        <v>281.91792</v>
      </c>
      <c r="C23" s="75"/>
      <c r="D23" s="75">
        <f>37.293*352</f>
        <v>13127.136</v>
      </c>
      <c r="E23" s="75"/>
      <c r="F23" s="75">
        <f>1533+352</f>
        <v>1885</v>
      </c>
    </row>
    <row r="24" spans="1:6" ht="12.75">
      <c r="A24" s="7" t="s">
        <v>45</v>
      </c>
      <c r="B24" s="75">
        <f>AVERAGE(B25:B35)</f>
        <v>25.628901818181816</v>
      </c>
      <c r="C24" s="75"/>
      <c r="D24" s="75">
        <f>AVERAGE(D25:D35)</f>
        <v>37.948221454545454</v>
      </c>
      <c r="E24" s="75"/>
      <c r="F24" s="75">
        <f>AVERAGE(F25:F35)</f>
        <v>23.342706181818176</v>
      </c>
    </row>
    <row r="25" spans="1:8" ht="12.75">
      <c r="A25" s="74" t="s">
        <v>0</v>
      </c>
      <c r="B25" s="5">
        <v>4.859904</v>
      </c>
      <c r="C25" s="5">
        <f>+B25*28</f>
        <v>136.077312</v>
      </c>
      <c r="D25" s="5">
        <v>3.6586079999999996</v>
      </c>
      <c r="E25" s="112">
        <f>+D25*28</f>
        <v>102.44102399999998</v>
      </c>
      <c r="F25" s="77">
        <v>1.99728</v>
      </c>
      <c r="G25" s="112">
        <f>+F25*31</f>
        <v>61.915679999999995</v>
      </c>
      <c r="H25" s="5"/>
    </row>
    <row r="26" spans="1:8" ht="12.75">
      <c r="A26" s="74" t="s">
        <v>1</v>
      </c>
      <c r="B26" s="5">
        <v>5.780736</v>
      </c>
      <c r="C26" s="5">
        <f>+B26*31</f>
        <v>179.202816</v>
      </c>
      <c r="D26" s="5">
        <v>3.0159359999999995</v>
      </c>
      <c r="E26" s="112">
        <f>+D26*31</f>
        <v>93.49401599999999</v>
      </c>
      <c r="F26" s="77">
        <v>1.14048</v>
      </c>
      <c r="G26" s="112">
        <f>+F26*28</f>
        <v>31.933439999999997</v>
      </c>
      <c r="H26" s="5"/>
    </row>
    <row r="27" spans="1:8" ht="12.75">
      <c r="A27" s="74" t="s">
        <v>2</v>
      </c>
      <c r="B27" s="5">
        <v>0.5184</v>
      </c>
      <c r="C27" s="5">
        <f>+B27*31</f>
        <v>16.0704</v>
      </c>
      <c r="D27" s="5">
        <v>4.446791999999999</v>
      </c>
      <c r="E27" s="112">
        <f>+D27*31</f>
        <v>137.850552</v>
      </c>
      <c r="F27" s="77">
        <v>30.345868799999998</v>
      </c>
      <c r="G27" s="112">
        <f>+F27*31</f>
        <v>940.7219328</v>
      </c>
      <c r="H27" s="5"/>
    </row>
    <row r="28" spans="1:8" ht="12.75">
      <c r="A28" s="74" t="s">
        <v>3</v>
      </c>
      <c r="B28" s="5">
        <v>27.83232</v>
      </c>
      <c r="C28" s="5">
        <f>+B28*30</f>
        <v>834.9696</v>
      </c>
      <c r="D28" s="5">
        <v>7.210043999999999</v>
      </c>
      <c r="E28" s="112">
        <f>+D28*30</f>
        <v>216.30131999999998</v>
      </c>
      <c r="F28" s="77">
        <v>91.170528</v>
      </c>
      <c r="G28" s="112">
        <f>+F28*30</f>
        <v>2735.11584</v>
      </c>
      <c r="H28" s="5"/>
    </row>
    <row r="29" spans="1:8" ht="12.75">
      <c r="A29" s="74" t="s">
        <v>4</v>
      </c>
      <c r="B29" s="5">
        <v>71.05536</v>
      </c>
      <c r="C29" s="5">
        <f>+B29*31</f>
        <v>2202.71616</v>
      </c>
      <c r="D29" s="5">
        <v>149.74399999999997</v>
      </c>
      <c r="E29" s="112">
        <f>+D29*31</f>
        <v>4642.063999999999</v>
      </c>
      <c r="F29" s="77">
        <v>16.702632</v>
      </c>
      <c r="G29" s="112">
        <f>+F29*31</f>
        <v>517.781592</v>
      </c>
      <c r="H29" s="5"/>
    </row>
    <row r="30" spans="1:8" ht="12.75">
      <c r="A30" s="74" t="s">
        <v>5</v>
      </c>
      <c r="B30" s="5">
        <v>62.64</v>
      </c>
      <c r="C30" s="5">
        <f>+B30*30</f>
        <v>1879.2</v>
      </c>
      <c r="D30" s="5">
        <v>54.996480000000005</v>
      </c>
      <c r="E30" s="112">
        <f>+D30*30</f>
        <v>1649.8944000000001</v>
      </c>
      <c r="F30" s="77">
        <v>0.1285632</v>
      </c>
      <c r="G30" s="112">
        <f>+F30*30</f>
        <v>3.856896</v>
      </c>
      <c r="H30" s="5"/>
    </row>
    <row r="31" spans="1:8" ht="12.75">
      <c r="A31" s="74" t="s">
        <v>6</v>
      </c>
      <c r="B31" s="5">
        <v>70.992</v>
      </c>
      <c r="C31" s="5">
        <f>+B31*31</f>
        <v>2200.752</v>
      </c>
      <c r="D31" s="5">
        <v>122.16</v>
      </c>
      <c r="E31" s="112">
        <f>+D31*31</f>
        <v>3786.96</v>
      </c>
      <c r="F31" s="77">
        <v>35.152416</v>
      </c>
      <c r="G31" s="112">
        <f>+F31*31</f>
        <v>1089.7248960000002</v>
      </c>
      <c r="H31" s="5"/>
    </row>
    <row r="32" spans="1:8" ht="12.75">
      <c r="A32" s="74" t="s">
        <v>7</v>
      </c>
      <c r="B32" s="5">
        <v>8.748</v>
      </c>
      <c r="C32" s="5">
        <f>+B32*31</f>
        <v>271.188</v>
      </c>
      <c r="D32" s="5">
        <v>64.99281599999999</v>
      </c>
      <c r="E32" s="112">
        <f>+D32*31</f>
        <v>2014.7772959999998</v>
      </c>
      <c r="F32" s="77">
        <v>0.43200000000000005</v>
      </c>
      <c r="G32" s="112">
        <f>+F32*31</f>
        <v>13.392000000000001</v>
      </c>
      <c r="H32" s="5"/>
    </row>
    <row r="33" spans="1:8" ht="12.75">
      <c r="A33" s="74" t="s">
        <v>8</v>
      </c>
      <c r="B33" s="5">
        <v>8.927999999999999</v>
      </c>
      <c r="C33" s="5">
        <f>+B33*31</f>
        <v>276.768</v>
      </c>
      <c r="D33" s="5">
        <v>1.3190399999999998</v>
      </c>
      <c r="E33" s="112">
        <f>+D33*31</f>
        <v>40.89023999999999</v>
      </c>
      <c r="F33" s="5">
        <v>0.7</v>
      </c>
      <c r="G33" s="112">
        <f>+F33*31</f>
        <v>21.7</v>
      </c>
      <c r="H33" s="5"/>
    </row>
    <row r="34" spans="1:8" ht="12.75">
      <c r="A34" s="74" t="s">
        <v>9</v>
      </c>
      <c r="B34" s="5">
        <v>1.5552000000000001</v>
      </c>
      <c r="C34" s="5">
        <f>+B34*30</f>
        <v>46.656000000000006</v>
      </c>
      <c r="D34" s="5">
        <v>3.73248</v>
      </c>
      <c r="E34" s="112">
        <f>+D34*30</f>
        <v>111.97439999999999</v>
      </c>
      <c r="F34" s="5">
        <v>31.7</v>
      </c>
      <c r="G34" s="112">
        <f>+F34*30</f>
        <v>951</v>
      </c>
      <c r="H34" s="5"/>
    </row>
    <row r="35" spans="1:8" ht="12.75">
      <c r="A35" s="74" t="s">
        <v>10</v>
      </c>
      <c r="B35" s="5">
        <v>19.008</v>
      </c>
      <c r="C35" s="5">
        <f>+B35*31</f>
        <v>589.2479999999999</v>
      </c>
      <c r="D35" s="5">
        <v>2.1542399999999997</v>
      </c>
      <c r="E35" s="112">
        <f>+D35*31</f>
        <v>66.78143999999999</v>
      </c>
      <c r="F35" s="5">
        <v>47.3</v>
      </c>
      <c r="G35" s="112">
        <f>+F35*31</f>
        <v>1466.3</v>
      </c>
      <c r="H35" s="5"/>
    </row>
    <row r="36" spans="2:22" ht="12.75">
      <c r="B36" s="5"/>
      <c r="C36" s="5">
        <f>SUM(C25:C35)</f>
        <v>8632.848288000001</v>
      </c>
      <c r="D36" s="5"/>
      <c r="E36" s="112">
        <f>SUM(E25:E35)</f>
        <v>12863.428688</v>
      </c>
      <c r="F36" s="5"/>
      <c r="G36" s="112">
        <f>SUM(G25:G35)</f>
        <v>7833.4422768</v>
      </c>
      <c r="H36" s="122">
        <f>+G36+E36</f>
        <v>20696.8709648</v>
      </c>
      <c r="O36" s="123" t="s">
        <v>330</v>
      </c>
      <c r="P36" s="123"/>
      <c r="Q36" s="123"/>
      <c r="R36" s="123"/>
      <c r="S36" s="123"/>
      <c r="T36" s="123"/>
      <c r="U36" s="123"/>
      <c r="V36" s="123"/>
    </row>
    <row r="37" spans="1:8" ht="12.75">
      <c r="A37" s="74" t="s">
        <v>39</v>
      </c>
      <c r="C37" s="5"/>
      <c r="E37" s="112">
        <f>SUM(E25:E36)</f>
        <v>25726.857376</v>
      </c>
      <c r="F37" s="112">
        <f>SUM(F25:F35)</f>
        <v>256.76976799999994</v>
      </c>
      <c r="G37" s="112">
        <f>SUM(G25:G36)</f>
        <v>15666.8845536</v>
      </c>
      <c r="H37" s="75">
        <f>E37+G37</f>
        <v>41393.7419296</v>
      </c>
    </row>
    <row r="39" spans="1:7" ht="12.75">
      <c r="A39" s="72"/>
      <c r="B39" s="72" t="s">
        <v>11</v>
      </c>
      <c r="C39" s="72" t="s">
        <v>11</v>
      </c>
      <c r="D39" s="74" t="s">
        <v>12</v>
      </c>
      <c r="E39" s="74" t="s">
        <v>12</v>
      </c>
      <c r="F39" s="74" t="s">
        <v>13</v>
      </c>
      <c r="G39" s="74" t="s">
        <v>13</v>
      </c>
    </row>
    <row r="40" spans="2:7" ht="12.75">
      <c r="B40" s="74" t="s">
        <v>44</v>
      </c>
      <c r="C40" s="74" t="s">
        <v>34</v>
      </c>
      <c r="D40" s="74" t="s">
        <v>34</v>
      </c>
      <c r="E40" s="74" t="s">
        <v>34</v>
      </c>
      <c r="F40" s="74" t="s">
        <v>34</v>
      </c>
      <c r="G40" s="74" t="s">
        <v>34</v>
      </c>
    </row>
    <row r="41" spans="2:7" ht="12.75">
      <c r="B41" s="74" t="s">
        <v>35</v>
      </c>
      <c r="C41" s="74" t="s">
        <v>263</v>
      </c>
      <c r="D41" s="74" t="s">
        <v>35</v>
      </c>
      <c r="E41" s="74" t="s">
        <v>263</v>
      </c>
      <c r="F41" s="74" t="s">
        <v>35</v>
      </c>
      <c r="G41" s="74" t="s">
        <v>263</v>
      </c>
    </row>
    <row r="42" spans="1:6" ht="12.75">
      <c r="A42" s="7" t="s">
        <v>45</v>
      </c>
      <c r="B42" s="75">
        <f>AVERAGE(B43:B53)</f>
        <v>41.5152</v>
      </c>
      <c r="C42" s="75"/>
      <c r="D42" s="75">
        <f>AVERAGE(D43:D53)</f>
        <v>38.154656363636356</v>
      </c>
      <c r="E42" s="75"/>
      <c r="F42" s="75">
        <f>AVERAGE(F43:F53)</f>
        <v>9.554107636363637</v>
      </c>
    </row>
    <row r="43" spans="1:7" ht="12.75">
      <c r="A43" s="74" t="s">
        <v>0</v>
      </c>
      <c r="B43" s="5">
        <v>6.508800000000001</v>
      </c>
      <c r="C43" s="75">
        <f>AVERAGE(C44:C55)</f>
        <v>1385.16048</v>
      </c>
      <c r="D43" s="5">
        <v>6.7752</v>
      </c>
      <c r="E43" s="75">
        <f>AVERAGE(E44:E55)</f>
        <v>1268.9507959999999</v>
      </c>
      <c r="F43" s="5">
        <v>1.368</v>
      </c>
      <c r="G43" s="75">
        <f>AVERAGE(G44:G55)</f>
        <v>316.2393648</v>
      </c>
    </row>
    <row r="44" spans="1:7" ht="12.75">
      <c r="A44" s="74" t="s">
        <v>1</v>
      </c>
      <c r="B44" s="5">
        <v>5.558400000000001</v>
      </c>
      <c r="C44" s="5">
        <f>+B44*28</f>
        <v>155.63520000000003</v>
      </c>
      <c r="D44" s="5">
        <v>5.3856</v>
      </c>
      <c r="E44" s="5">
        <f>+D44*28</f>
        <v>150.79680000000002</v>
      </c>
      <c r="F44" s="5">
        <v>6.336</v>
      </c>
      <c r="G44" s="5">
        <f>+F44*28</f>
        <v>177.40800000000002</v>
      </c>
    </row>
    <row r="45" spans="1:7" ht="12.75">
      <c r="A45" s="74" t="s">
        <v>2</v>
      </c>
      <c r="B45" s="5">
        <v>1.44</v>
      </c>
      <c r="C45" s="5">
        <f>+B45*31</f>
        <v>44.64</v>
      </c>
      <c r="D45" s="5">
        <v>7.847279999999999</v>
      </c>
      <c r="E45" s="5">
        <f>+D45*31</f>
        <v>243.26567999999995</v>
      </c>
      <c r="F45" s="5">
        <v>24.357887999999996</v>
      </c>
      <c r="G45" s="5">
        <f>+F45*31</f>
        <v>755.0945279999999</v>
      </c>
    </row>
    <row r="46" spans="1:7" ht="12.75">
      <c r="A46" s="74" t="s">
        <v>3</v>
      </c>
      <c r="B46" s="5">
        <v>21.744</v>
      </c>
      <c r="C46" s="5">
        <f>+B46*30</f>
        <v>652.3199999999999</v>
      </c>
      <c r="D46" s="5">
        <v>12.7737</v>
      </c>
      <c r="E46" s="5">
        <f>+D46*30</f>
        <v>383.211</v>
      </c>
      <c r="F46" s="5">
        <v>17.332800000000002</v>
      </c>
      <c r="G46" s="5">
        <f>+F46*30</f>
        <v>519.984</v>
      </c>
    </row>
    <row r="47" spans="1:7" ht="12.75">
      <c r="A47" s="74" t="s">
        <v>4</v>
      </c>
      <c r="B47" s="5">
        <v>111.02400000000002</v>
      </c>
      <c r="C47" s="5">
        <f>+B47*31</f>
        <v>3441.7440000000006</v>
      </c>
      <c r="D47" s="5">
        <v>149.74399999999997</v>
      </c>
      <c r="E47" s="5">
        <f>+D47*31</f>
        <v>4642.063999999999</v>
      </c>
      <c r="F47" s="5">
        <v>10.504800000000001</v>
      </c>
      <c r="G47" s="5">
        <f>+F47*31</f>
        <v>325.64880000000005</v>
      </c>
    </row>
    <row r="48" spans="1:7" ht="12.75">
      <c r="A48" s="74" t="s">
        <v>5</v>
      </c>
      <c r="B48" s="5">
        <v>54</v>
      </c>
      <c r="C48" s="5">
        <f>+B48*30</f>
        <v>1620</v>
      </c>
      <c r="D48" s="5">
        <v>65.472</v>
      </c>
      <c r="E48" s="5">
        <f>+D48*30</f>
        <v>1964.1599999999999</v>
      </c>
      <c r="F48" s="5">
        <v>0.3749759999999999</v>
      </c>
      <c r="G48" s="5">
        <f>+F48*30</f>
        <v>11.249279999999997</v>
      </c>
    </row>
    <row r="49" spans="1:7" ht="12.75">
      <c r="A49" s="74" t="s">
        <v>6</v>
      </c>
      <c r="B49" s="5">
        <v>153</v>
      </c>
      <c r="C49" s="5">
        <f>+B49*31</f>
        <v>4743</v>
      </c>
      <c r="D49" s="5">
        <v>117.27359999999999</v>
      </c>
      <c r="E49" s="5">
        <f>+D49*31</f>
        <v>3635.4815999999996</v>
      </c>
      <c r="F49" s="5">
        <v>7.291439999999999</v>
      </c>
      <c r="G49" s="5">
        <f>+F49*31</f>
        <v>226.03463999999997</v>
      </c>
    </row>
    <row r="50" spans="1:7" ht="12.75">
      <c r="A50" s="74" t="s">
        <v>7</v>
      </c>
      <c r="B50" s="5">
        <v>51.84</v>
      </c>
      <c r="C50" s="5">
        <f>+B50*31</f>
        <v>1607.0400000000002</v>
      </c>
      <c r="D50" s="5">
        <v>22.070159999999998</v>
      </c>
      <c r="E50" s="5">
        <f>+D50*31</f>
        <v>684.1749599999999</v>
      </c>
      <c r="F50" s="5">
        <v>0.5616</v>
      </c>
      <c r="G50" s="5">
        <f>+F50*31</f>
        <v>17.4096</v>
      </c>
    </row>
    <row r="51" spans="1:7" ht="12.75">
      <c r="A51" s="74" t="s">
        <v>8</v>
      </c>
      <c r="B51" s="5">
        <v>17.855999999999998</v>
      </c>
      <c r="C51" s="5">
        <f>+B51*31</f>
        <v>553.536</v>
      </c>
      <c r="D51" s="5">
        <v>2.6380799999999995</v>
      </c>
      <c r="E51" s="5">
        <f>+D51*31</f>
        <v>81.78047999999998</v>
      </c>
      <c r="F51" s="5">
        <v>0.10079999999999999</v>
      </c>
      <c r="G51" s="5">
        <f>+F51*31</f>
        <v>3.1247999999999996</v>
      </c>
    </row>
    <row r="52" spans="1:7" ht="12.75">
      <c r="A52" s="74" t="s">
        <v>9</v>
      </c>
      <c r="B52" s="5">
        <v>10.8864</v>
      </c>
      <c r="C52" s="5">
        <f>+B52*30</f>
        <v>326.592</v>
      </c>
      <c r="D52" s="5">
        <v>16.79616</v>
      </c>
      <c r="E52" s="5">
        <f>+D52*30</f>
        <v>503.88480000000004</v>
      </c>
      <c r="F52" s="5">
        <v>16.433279999999996</v>
      </c>
      <c r="G52" s="5">
        <f>+F52*30</f>
        <v>492.9983999999999</v>
      </c>
    </row>
    <row r="53" spans="1:7" ht="12.75">
      <c r="A53" s="74" t="s">
        <v>10</v>
      </c>
      <c r="B53" s="5">
        <v>22.8096</v>
      </c>
      <c r="C53" s="5">
        <f>+B53*31</f>
        <v>707.0975999999999</v>
      </c>
      <c r="D53" s="5">
        <v>12.925439999999998</v>
      </c>
      <c r="E53" s="5">
        <f>+D53*31</f>
        <v>400.68863999999996</v>
      </c>
      <c r="F53" s="5">
        <v>20.4336</v>
      </c>
      <c r="G53" s="5">
        <f>+F53*31</f>
        <v>633.4416</v>
      </c>
    </row>
    <row r="54" spans="2:7" ht="12.75">
      <c r="B54" s="5"/>
      <c r="C54" s="5"/>
      <c r="D54" s="5"/>
      <c r="E54" s="5"/>
      <c r="F54" s="5"/>
      <c r="G54" s="5"/>
    </row>
    <row r="55" spans="1:7" ht="12.75">
      <c r="A55" s="74" t="s">
        <v>39</v>
      </c>
      <c r="C55" s="5"/>
      <c r="E55" s="5"/>
      <c r="G55" s="5"/>
    </row>
    <row r="57" spans="1:7" ht="12.75">
      <c r="A57" s="72"/>
      <c r="B57" s="72" t="s">
        <v>11</v>
      </c>
      <c r="C57" s="72" t="s">
        <v>11</v>
      </c>
      <c r="D57" s="74" t="s">
        <v>12</v>
      </c>
      <c r="E57" s="74" t="s">
        <v>12</v>
      </c>
      <c r="F57" s="74" t="s">
        <v>13</v>
      </c>
      <c r="G57" s="74" t="s">
        <v>13</v>
      </c>
    </row>
    <row r="58" spans="2:7" ht="12.75">
      <c r="B58" s="74" t="s">
        <v>41</v>
      </c>
      <c r="C58" s="74" t="s">
        <v>40</v>
      </c>
      <c r="D58" s="74" t="s">
        <v>40</v>
      </c>
      <c r="E58" s="74" t="s">
        <v>40</v>
      </c>
      <c r="F58" s="74" t="s">
        <v>40</v>
      </c>
      <c r="G58" s="74" t="s">
        <v>40</v>
      </c>
    </row>
    <row r="59" spans="2:7" ht="12.75">
      <c r="B59" s="74" t="s">
        <v>35</v>
      </c>
      <c r="C59" s="74" t="s">
        <v>263</v>
      </c>
      <c r="D59" s="74" t="s">
        <v>35</v>
      </c>
      <c r="E59" s="74" t="s">
        <v>263</v>
      </c>
      <c r="F59" s="74" t="s">
        <v>35</v>
      </c>
      <c r="G59" s="74" t="s">
        <v>263</v>
      </c>
    </row>
    <row r="60" spans="1:6" ht="12.75">
      <c r="A60" s="7" t="s">
        <v>45</v>
      </c>
      <c r="B60" s="77">
        <f>AVERAGE(B61:B71)</f>
        <v>3648.6384999999996</v>
      </c>
      <c r="C60" s="77"/>
      <c r="D60" s="77">
        <f>AVERAGE(D61:D71)</f>
        <v>16232.016198863636</v>
      </c>
      <c r="E60" s="77"/>
      <c r="F60" s="77">
        <f>AVERAGE(F61:F71)</f>
        <v>17870.45848939394</v>
      </c>
    </row>
    <row r="61" spans="1:7" ht="12.75">
      <c r="A61" s="74" t="s">
        <v>0</v>
      </c>
      <c r="B61" s="4">
        <v>2194.6859999999997</v>
      </c>
      <c r="C61" s="5">
        <f>+B61*28</f>
        <v>61451.20799999999</v>
      </c>
      <c r="D61" s="4">
        <v>1332.6324375</v>
      </c>
      <c r="E61" s="5">
        <f>+D61*28</f>
        <v>37313.708249999996</v>
      </c>
      <c r="F61" s="4">
        <v>768.7875</v>
      </c>
      <c r="G61" s="5">
        <f>+F61*28</f>
        <v>21526.05</v>
      </c>
    </row>
    <row r="62" spans="1:7" ht="12.75">
      <c r="A62" s="74" t="s">
        <v>1</v>
      </c>
      <c r="B62" s="4">
        <v>2082.47</v>
      </c>
      <c r="C62" s="5">
        <f>+B62*28</f>
        <v>58309.159999999996</v>
      </c>
      <c r="D62" s="4">
        <v>504.4325</v>
      </c>
      <c r="E62" s="5">
        <f>+D62*28</f>
        <v>14124.11</v>
      </c>
      <c r="F62" s="4">
        <v>94714.62</v>
      </c>
      <c r="G62" s="5">
        <f>+F62*28</f>
        <v>2652009.36</v>
      </c>
    </row>
    <row r="63" spans="1:7" ht="12.75">
      <c r="A63" s="74" t="s">
        <v>2</v>
      </c>
      <c r="B63" s="4">
        <v>134.875</v>
      </c>
      <c r="C63" s="5">
        <f>+B63*31</f>
        <v>4181.125</v>
      </c>
      <c r="D63" s="4">
        <v>408.33406249999996</v>
      </c>
      <c r="E63" s="5">
        <f>+D63*31</f>
        <v>12658.355937499999</v>
      </c>
      <c r="F63" s="4">
        <v>23004.495799999997</v>
      </c>
      <c r="G63" s="5">
        <f>+F63*31</f>
        <v>713139.3697999999</v>
      </c>
    </row>
    <row r="64" spans="1:7" ht="12.75">
      <c r="A64" s="74" t="s">
        <v>3</v>
      </c>
      <c r="B64" s="4">
        <v>2036.6124999999997</v>
      </c>
      <c r="C64" s="5">
        <f>+B64*30</f>
        <v>61098.37499999999</v>
      </c>
      <c r="D64" s="4">
        <v>531.7446874999999</v>
      </c>
      <c r="E64" s="5">
        <f>+D64*30</f>
        <v>15952.340624999999</v>
      </c>
      <c r="F64" s="4">
        <v>29303.18977083333</v>
      </c>
      <c r="G64" s="5">
        <f>+F64*30</f>
        <v>879095.6931249999</v>
      </c>
    </row>
    <row r="65" spans="1:7" ht="12.75">
      <c r="A65" s="74" t="s">
        <v>4</v>
      </c>
      <c r="B65" s="4">
        <v>10398.8625</v>
      </c>
      <c r="C65" s="5">
        <f>+B65*31</f>
        <v>322364.7375</v>
      </c>
      <c r="D65" s="4">
        <v>87015.35555555554</v>
      </c>
      <c r="E65" s="5">
        <f>+D65*31</f>
        <v>2697476.022222222</v>
      </c>
      <c r="F65" s="4">
        <v>11315.000937499999</v>
      </c>
      <c r="G65" s="5">
        <f>+F65*31</f>
        <v>350765.0290625</v>
      </c>
    </row>
    <row r="66" spans="1:7" ht="12.75">
      <c r="A66" s="74" t="s">
        <v>5</v>
      </c>
      <c r="B66" s="4">
        <v>5057.8125</v>
      </c>
      <c r="C66" s="5">
        <f>+B66*30</f>
        <v>151734.375</v>
      </c>
      <c r="D66" s="4">
        <v>8994.064444444444</v>
      </c>
      <c r="E66" s="5">
        <f>+D66*30</f>
        <v>269821.93333333335</v>
      </c>
      <c r="F66" s="4">
        <v>8.36225</v>
      </c>
      <c r="G66" s="5">
        <f>+F66*30</f>
        <v>250.86749999999998</v>
      </c>
    </row>
    <row r="67" spans="1:7" ht="12.75">
      <c r="A67" s="74" t="s">
        <v>6</v>
      </c>
      <c r="B67" s="4">
        <v>5732.1875</v>
      </c>
      <c r="C67" s="5">
        <f>+B67*31</f>
        <v>177697.8125</v>
      </c>
      <c r="D67" s="4">
        <v>37071.7425</v>
      </c>
      <c r="E67" s="5">
        <f>+D67*31</f>
        <v>1149224.0175</v>
      </c>
      <c r="F67" s="4">
        <v>19409.861249999998</v>
      </c>
      <c r="G67" s="5">
        <f>+F67*31</f>
        <v>601705.69875</v>
      </c>
    </row>
    <row r="68" spans="1:7" ht="12.75">
      <c r="A68" s="74" t="s">
        <v>7</v>
      </c>
      <c r="B68" s="4">
        <v>9104.0625</v>
      </c>
      <c r="C68" s="5">
        <f>+B68*31</f>
        <v>282225.9375</v>
      </c>
      <c r="D68" s="4">
        <v>37066.347499999996</v>
      </c>
      <c r="E68" s="5">
        <f>+D68*31</f>
        <v>1149056.7725</v>
      </c>
      <c r="F68" s="4">
        <v>406.648125</v>
      </c>
      <c r="G68" s="5">
        <f>+F68*31</f>
        <v>12606.091875</v>
      </c>
    </row>
    <row r="69" spans="1:7" ht="12.75">
      <c r="A69" s="74" t="s">
        <v>8</v>
      </c>
      <c r="B69" s="5">
        <v>1337.96</v>
      </c>
      <c r="C69" s="5">
        <f>+B69*31</f>
        <v>41476.76</v>
      </c>
      <c r="D69" s="5">
        <v>1976.7279999999996</v>
      </c>
      <c r="E69" s="5">
        <f>+D69*31</f>
        <v>61278.567999999985</v>
      </c>
      <c r="F69" s="5">
        <v>9.44125</v>
      </c>
      <c r="G69" s="5">
        <f>+F69*31</f>
        <v>292.67875</v>
      </c>
    </row>
    <row r="70" spans="1:7" ht="12.75">
      <c r="A70" s="74" t="s">
        <v>9</v>
      </c>
      <c r="B70" s="5">
        <v>1165.32</v>
      </c>
      <c r="C70" s="5">
        <f>+B70*30</f>
        <v>34959.6</v>
      </c>
      <c r="D70" s="5">
        <v>3146.3639999999996</v>
      </c>
      <c r="E70" s="5">
        <f>+D70*30</f>
        <v>94390.91999999998</v>
      </c>
      <c r="F70" s="5">
        <v>5130.6449999999995</v>
      </c>
      <c r="G70" s="5">
        <f>+F70*30</f>
        <v>153919.34999999998</v>
      </c>
    </row>
    <row r="71" spans="1:7" ht="12.75">
      <c r="A71" s="74" t="s">
        <v>10</v>
      </c>
      <c r="B71" s="5">
        <v>890.175</v>
      </c>
      <c r="C71" s="5">
        <f>+B71*31</f>
        <v>27595.425</v>
      </c>
      <c r="D71" s="5">
        <v>504.4325</v>
      </c>
      <c r="E71" s="5">
        <f>+D71*31</f>
        <v>15637.4075</v>
      </c>
      <c r="F71" s="5">
        <v>12503.991499999998</v>
      </c>
      <c r="G71" s="5">
        <f>+F71*31</f>
        <v>387623.73649999994</v>
      </c>
    </row>
    <row r="72" spans="2:7" ht="12.75">
      <c r="B72" s="5"/>
      <c r="C72" s="5"/>
      <c r="D72" s="5"/>
      <c r="E72" s="5">
        <f>SUM(E61:E71)</f>
        <v>5516934.155868055</v>
      </c>
      <c r="F72" s="5"/>
      <c r="G72" s="5">
        <f>SUM(G61:G71)</f>
        <v>5772933.925362499</v>
      </c>
    </row>
    <row r="73" spans="1:7" ht="12.75">
      <c r="A73" s="74" t="s">
        <v>42</v>
      </c>
      <c r="C73" s="5"/>
      <c r="E73" s="5"/>
      <c r="G73" s="5"/>
    </row>
    <row r="74" spans="2:6" ht="12.75">
      <c r="B74" s="77"/>
      <c r="C74" s="77"/>
      <c r="D74" s="77"/>
      <c r="E74" s="77"/>
      <c r="F74" s="77"/>
    </row>
    <row r="79" spans="2:4" ht="12.75">
      <c r="B79" s="74" t="s">
        <v>13</v>
      </c>
      <c r="D79" s="74" t="s">
        <v>13</v>
      </c>
    </row>
    <row r="80" spans="2:4" ht="12.75">
      <c r="B80" s="74" t="s">
        <v>17</v>
      </c>
      <c r="D80" s="74" t="s">
        <v>17</v>
      </c>
    </row>
    <row r="81" spans="1:6" ht="12.75">
      <c r="A81" s="74" t="s">
        <v>0</v>
      </c>
      <c r="B81" s="74">
        <v>0.0365</v>
      </c>
      <c r="D81" s="5">
        <v>9.5</v>
      </c>
      <c r="E81" s="5"/>
      <c r="F81" s="74">
        <f>+(B81*D81)*5.76</f>
        <v>1.99728</v>
      </c>
    </row>
    <row r="82" spans="1:9" ht="12.75">
      <c r="A82" s="74" t="s">
        <v>1</v>
      </c>
      <c r="B82" s="74">
        <v>0.009</v>
      </c>
      <c r="D82" s="5">
        <v>22</v>
      </c>
      <c r="E82" s="5"/>
      <c r="F82" s="74">
        <f aca="true" t="shared" si="1" ref="F82:F91">+(B82*D82)*5.76</f>
        <v>1.14048</v>
      </c>
      <c r="I82" s="5"/>
    </row>
    <row r="83" spans="1:9" ht="12.75">
      <c r="A83" s="74" t="s">
        <v>2</v>
      </c>
      <c r="B83" s="74">
        <v>0.0598</v>
      </c>
      <c r="D83" s="5">
        <f>352.4/4</f>
        <v>88.1</v>
      </c>
      <c r="E83" s="5"/>
      <c r="F83" s="74">
        <f t="shared" si="1"/>
        <v>30.345868799999998</v>
      </c>
      <c r="I83" s="5"/>
    </row>
    <row r="84" spans="1:9" ht="12.75">
      <c r="A84" s="74" t="s">
        <v>3</v>
      </c>
      <c r="B84" s="74">
        <v>0.1315</v>
      </c>
      <c r="D84" s="5">
        <f>361.1/3</f>
        <v>120.36666666666667</v>
      </c>
      <c r="E84" s="5"/>
      <c r="F84" s="74">
        <f t="shared" si="1"/>
        <v>91.170528</v>
      </c>
      <c r="I84" s="5"/>
    </row>
    <row r="85" spans="1:9" ht="12.75">
      <c r="A85" s="74" t="s">
        <v>4</v>
      </c>
      <c r="B85" s="74">
        <v>0.0795</v>
      </c>
      <c r="D85" s="5">
        <f>145.9/4</f>
        <v>36.475</v>
      </c>
      <c r="E85" s="5"/>
      <c r="F85" s="74">
        <f t="shared" si="1"/>
        <v>16.702632</v>
      </c>
      <c r="I85" s="5"/>
    </row>
    <row r="86" spans="1:9" ht="12.75">
      <c r="A86" s="74" t="s">
        <v>5</v>
      </c>
      <c r="B86" s="74">
        <v>0.036</v>
      </c>
      <c r="D86" s="5">
        <v>0.62</v>
      </c>
      <c r="E86" s="5"/>
      <c r="F86" s="74">
        <f t="shared" si="1"/>
        <v>0.1285632</v>
      </c>
      <c r="I86" s="5"/>
    </row>
    <row r="87" spans="1:9" ht="12.75">
      <c r="A87" s="74" t="s">
        <v>6</v>
      </c>
      <c r="B87" s="74">
        <v>0.229</v>
      </c>
      <c r="D87" s="5">
        <f>53.3/2</f>
        <v>26.65</v>
      </c>
      <c r="E87" s="5"/>
      <c r="F87" s="74">
        <f t="shared" si="1"/>
        <v>35.152416</v>
      </c>
      <c r="I87" s="5"/>
    </row>
    <row r="88" spans="1:9" ht="12.75">
      <c r="A88" s="74" t="s">
        <v>7</v>
      </c>
      <c r="B88" s="74">
        <v>0.05</v>
      </c>
      <c r="D88" s="5">
        <v>1.5</v>
      </c>
      <c r="E88" s="5"/>
      <c r="F88" s="74">
        <f t="shared" si="1"/>
        <v>0.43200000000000005</v>
      </c>
      <c r="I88" s="5"/>
    </row>
    <row r="89" spans="1:9" ht="12.75">
      <c r="A89" s="74" t="s">
        <v>8</v>
      </c>
      <c r="B89" s="74">
        <v>0.02</v>
      </c>
      <c r="D89" s="5"/>
      <c r="E89" s="5"/>
      <c r="F89" s="74">
        <f t="shared" si="1"/>
        <v>0</v>
      </c>
      <c r="I89" s="5"/>
    </row>
    <row r="90" spans="1:6" ht="12.75">
      <c r="A90" s="74" t="s">
        <v>9</v>
      </c>
      <c r="B90" s="74">
        <v>0.04</v>
      </c>
      <c r="D90" s="5"/>
      <c r="E90" s="5"/>
      <c r="F90" s="74">
        <f t="shared" si="1"/>
        <v>0</v>
      </c>
    </row>
    <row r="91" spans="1:6" ht="12.75">
      <c r="A91" s="74" t="s">
        <v>10</v>
      </c>
      <c r="B91" s="74">
        <v>0.07</v>
      </c>
      <c r="D91" s="5"/>
      <c r="E91" s="5"/>
      <c r="F91" s="74">
        <f t="shared" si="1"/>
        <v>0</v>
      </c>
    </row>
    <row r="92" spans="4:5" ht="12.75">
      <c r="D92" s="5"/>
      <c r="E92" s="5"/>
    </row>
    <row r="93" spans="2:3" ht="12.75">
      <c r="B93" s="79"/>
      <c r="C93" s="79"/>
    </row>
  </sheetData>
  <printOptions/>
  <pageMargins left="0.75" right="0.75" top="1" bottom="1" header="0.5" footer="0.5"/>
  <pageSetup horizontalDpi="600" verticalDpi="600" orientation="portrait" r:id="rId2"/>
  <rowBreaks count="1" manualBreakCount="1">
    <brk id="37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D20" sqref="D20"/>
    </sheetView>
  </sheetViews>
  <sheetFormatPr defaultColWidth="9.140625" defaultRowHeight="12.75"/>
  <cols>
    <col min="1" max="1" width="16.421875" style="0" customWidth="1"/>
  </cols>
  <sheetData>
    <row r="1" spans="1:3" ht="12.75">
      <c r="A1" t="s">
        <v>24</v>
      </c>
      <c r="B1" s="1" t="s">
        <v>71</v>
      </c>
      <c r="C1">
        <v>13</v>
      </c>
    </row>
    <row r="2" spans="1:11" ht="12.75">
      <c r="A2" t="s">
        <v>57</v>
      </c>
      <c r="B2" s="1" t="s">
        <v>71</v>
      </c>
      <c r="C2">
        <v>3.382</v>
      </c>
      <c r="K2" s="8"/>
    </row>
    <row r="3" spans="1:13" ht="12.75">
      <c r="A3" t="s">
        <v>59</v>
      </c>
      <c r="B3" s="1" t="s">
        <v>72</v>
      </c>
      <c r="C3">
        <v>3.1</v>
      </c>
      <c r="K3" s="115"/>
      <c r="L3" s="115"/>
      <c r="M3" s="115"/>
    </row>
    <row r="5" ht="12.75">
      <c r="A5" t="s">
        <v>102</v>
      </c>
    </row>
    <row r="6" spans="1:2" ht="12.75">
      <c r="A6" t="s">
        <v>103</v>
      </c>
      <c r="B6">
        <f>+LN(C3)</f>
        <v>1.1314021114911006</v>
      </c>
    </row>
    <row r="7" spans="2:3" ht="12.75">
      <c r="B7">
        <f>20+(14.42*B6)</f>
        <v>36.31481844770167</v>
      </c>
      <c r="C7" t="s">
        <v>106</v>
      </c>
    </row>
    <row r="8" spans="1:2" ht="12.75">
      <c r="A8" t="s">
        <v>104</v>
      </c>
      <c r="B8">
        <f>+LN(C2)</f>
        <v>1.2184672504763885</v>
      </c>
    </row>
    <row r="9" spans="2:3" ht="12.75">
      <c r="B9">
        <f>+(9.81*B8)+30.6</f>
        <v>42.55316372717337</v>
      </c>
      <c r="C9" t="s">
        <v>106</v>
      </c>
    </row>
    <row r="10" spans="1:2" ht="12.75">
      <c r="A10" t="s">
        <v>105</v>
      </c>
      <c r="B10">
        <f>+LN(C1)</f>
        <v>2.5649493574615367</v>
      </c>
    </row>
    <row r="11" spans="2:3" ht="12.75">
      <c r="B11">
        <f>+(14.42*B10)+4.15</f>
        <v>41.136569734595355</v>
      </c>
      <c r="C11" t="s">
        <v>106</v>
      </c>
    </row>
    <row r="13" ht="12.75">
      <c r="A13" t="s">
        <v>107</v>
      </c>
    </row>
    <row r="14" spans="1:2" ht="12.75">
      <c r="A14" t="s">
        <v>108</v>
      </c>
      <c r="B14">
        <f>+LN(C2)</f>
        <v>1.2184672504763885</v>
      </c>
    </row>
    <row r="15" spans="2:3" ht="12.75">
      <c r="B15">
        <f>20+(14.42*B14)</f>
        <v>37.57029775186952</v>
      </c>
      <c r="C15" t="s">
        <v>106</v>
      </c>
    </row>
    <row r="16" spans="1:2" ht="12.75">
      <c r="A16" t="s">
        <v>109</v>
      </c>
      <c r="B16">
        <f>+LN(C1)</f>
        <v>2.5649493574615367</v>
      </c>
    </row>
    <row r="17" spans="2:3" ht="12.75">
      <c r="B17">
        <f>20.02*B16</f>
        <v>51.350286136379964</v>
      </c>
      <c r="C17" t="s">
        <v>111</v>
      </c>
    </row>
    <row r="18" spans="1:2" ht="12.75">
      <c r="A18" t="s">
        <v>110</v>
      </c>
      <c r="B18">
        <f>+LN(1/C3-0.08)</f>
        <v>-1.4164210665233978</v>
      </c>
    </row>
    <row r="19" spans="2:3" ht="12.75">
      <c r="B19">
        <f>75.34+(19.46*B18)</f>
        <v>47.776446045454676</v>
      </c>
      <c r="C19" t="s">
        <v>111</v>
      </c>
    </row>
  </sheetData>
  <mergeCells count="1">
    <mergeCell ref="K3:M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60"/>
  <sheetViews>
    <sheetView workbookViewId="0" topLeftCell="A1">
      <selection activeCell="A4" sqref="A4"/>
    </sheetView>
  </sheetViews>
  <sheetFormatPr defaultColWidth="9.140625" defaultRowHeight="12.75"/>
  <cols>
    <col min="1" max="1" width="9.140625" style="29" customWidth="1"/>
    <col min="2" max="2" width="8.7109375" style="29" customWidth="1"/>
    <col min="3" max="3" width="10.7109375" style="29" customWidth="1"/>
    <col min="4" max="4" width="10.421875" style="29" customWidth="1"/>
    <col min="5" max="5" width="11.28125" style="29" customWidth="1"/>
    <col min="6" max="7" width="7.8515625" style="29" customWidth="1"/>
    <col min="8" max="8" width="10.421875" style="29" bestFit="1" customWidth="1"/>
    <col min="9" max="9" width="6.140625" style="29" customWidth="1"/>
    <col min="10" max="10" width="8.8515625" style="29" customWidth="1"/>
    <col min="11" max="11" width="7.8515625" style="29" customWidth="1"/>
    <col min="12" max="12" width="11.28125" style="29" bestFit="1" customWidth="1"/>
    <col min="13" max="13" width="7.8515625" style="29" bestFit="1" customWidth="1"/>
    <col min="14" max="15" width="9.00390625" style="29" customWidth="1"/>
    <col min="16" max="17" width="8.7109375" style="29" customWidth="1"/>
    <col min="18" max="18" width="11.8515625" style="29" bestFit="1" customWidth="1"/>
    <col min="19" max="19" width="11.421875" style="29" bestFit="1" customWidth="1"/>
    <col min="20" max="20" width="9.57421875" style="29" bestFit="1" customWidth="1"/>
    <col min="21" max="21" width="7.7109375" style="29" customWidth="1"/>
    <col min="22" max="24" width="9.28125" style="29" bestFit="1" customWidth="1"/>
    <col min="25" max="25" width="11.28125" style="29" bestFit="1" customWidth="1"/>
    <col min="26" max="28" width="9.28125" style="29" bestFit="1" customWidth="1"/>
    <col min="29" max="29" width="10.140625" style="29" bestFit="1" customWidth="1"/>
    <col min="30" max="30" width="10.28125" style="29" bestFit="1" customWidth="1"/>
    <col min="31" max="35" width="9.28125" style="29" bestFit="1" customWidth="1"/>
    <col min="36" max="36" width="8.421875" style="29" customWidth="1"/>
    <col min="37" max="37" width="10.8515625" style="29" bestFit="1" customWidth="1"/>
    <col min="38" max="38" width="13.00390625" style="29" bestFit="1" customWidth="1"/>
    <col min="39" max="39" width="13.57421875" style="29" bestFit="1" customWidth="1"/>
    <col min="40" max="16384" width="9.140625" style="29" customWidth="1"/>
  </cols>
  <sheetData>
    <row r="1" spans="2:45" ht="12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58"/>
      <c r="N1" s="27"/>
      <c r="O1" s="58"/>
      <c r="P1" s="58"/>
      <c r="Q1" s="58"/>
      <c r="R1" s="58"/>
      <c r="S1" s="58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S1" s="59"/>
    </row>
    <row r="2" spans="2:45" ht="12">
      <c r="B2" s="27"/>
      <c r="C2" s="27"/>
      <c r="D2" s="13"/>
      <c r="E2" s="27"/>
      <c r="F2" s="27"/>
      <c r="G2" s="27"/>
      <c r="AN2" s="60"/>
      <c r="AO2" s="60"/>
      <c r="AP2" s="60"/>
      <c r="AQ2" s="60"/>
      <c r="AR2" s="60"/>
      <c r="AS2" s="60"/>
    </row>
    <row r="3" spans="2:45" ht="12">
      <c r="B3" s="13"/>
      <c r="C3" s="27"/>
      <c r="D3" s="13" t="s">
        <v>209</v>
      </c>
      <c r="E3" s="27"/>
      <c r="F3" s="13"/>
      <c r="G3" s="27"/>
      <c r="AN3" s="23"/>
      <c r="AO3" s="23"/>
      <c r="AP3" s="23"/>
      <c r="AQ3" s="23"/>
      <c r="AR3" s="23"/>
      <c r="AS3" s="23"/>
    </row>
    <row r="4" spans="2:45" ht="12">
      <c r="B4" s="13" t="s">
        <v>29</v>
      </c>
      <c r="C4" s="13" t="s">
        <v>53</v>
      </c>
      <c r="D4" s="13" t="s">
        <v>210</v>
      </c>
      <c r="E4" s="13" t="s">
        <v>213</v>
      </c>
      <c r="F4" s="13" t="s">
        <v>214</v>
      </c>
      <c r="G4" s="13" t="s">
        <v>215</v>
      </c>
      <c r="H4" s="13" t="s">
        <v>216</v>
      </c>
      <c r="I4" s="13" t="s">
        <v>217</v>
      </c>
      <c r="J4" s="13" t="s">
        <v>28</v>
      </c>
      <c r="AN4" s="23"/>
      <c r="AO4" s="23"/>
      <c r="AP4" s="23"/>
      <c r="AQ4" s="23"/>
      <c r="AR4" s="23"/>
      <c r="AS4" s="23"/>
    </row>
    <row r="5" spans="1:45" ht="13.5" customHeight="1">
      <c r="A5" s="61" t="s">
        <v>112</v>
      </c>
      <c r="B5" s="63" t="s">
        <v>205</v>
      </c>
      <c r="C5" s="64" t="s">
        <v>211</v>
      </c>
      <c r="D5" s="64" t="s">
        <v>212</v>
      </c>
      <c r="E5" s="64" t="s">
        <v>199</v>
      </c>
      <c r="F5" s="64" t="s">
        <v>200</v>
      </c>
      <c r="G5" s="64" t="s">
        <v>201</v>
      </c>
      <c r="H5" s="64" t="s">
        <v>200</v>
      </c>
      <c r="I5" s="64" t="s">
        <v>200</v>
      </c>
      <c r="J5" s="64" t="s">
        <v>202</v>
      </c>
      <c r="AN5" s="23"/>
      <c r="AO5" s="23"/>
      <c r="AP5" s="23"/>
      <c r="AQ5" s="23"/>
      <c r="AR5" s="23"/>
      <c r="AS5" s="23"/>
    </row>
    <row r="6" spans="1:45" ht="12">
      <c r="A6" s="29" t="s">
        <v>11</v>
      </c>
      <c r="B6" s="29" t="s">
        <v>125</v>
      </c>
      <c r="C6" s="29" t="s">
        <v>125</v>
      </c>
      <c r="D6" s="29" t="s">
        <v>125</v>
      </c>
      <c r="E6" s="29" t="s">
        <v>125</v>
      </c>
      <c r="F6" s="29" t="s">
        <v>125</v>
      </c>
      <c r="G6" s="29" t="s">
        <v>125</v>
      </c>
      <c r="H6" s="29" t="s">
        <v>125</v>
      </c>
      <c r="I6" s="29" t="s">
        <v>125</v>
      </c>
      <c r="J6" s="29" t="s">
        <v>125</v>
      </c>
      <c r="AN6" s="60"/>
      <c r="AO6" s="60"/>
      <c r="AP6" s="60"/>
      <c r="AQ6" s="60"/>
      <c r="AR6" s="60"/>
      <c r="AS6" s="60"/>
    </row>
    <row r="7" spans="1:10" ht="12">
      <c r="A7" s="29" t="s">
        <v>12</v>
      </c>
      <c r="B7" s="29" t="s">
        <v>125</v>
      </c>
      <c r="C7" s="29" t="s">
        <v>125</v>
      </c>
      <c r="D7" s="62" t="s">
        <v>125</v>
      </c>
      <c r="E7" s="29" t="s">
        <v>125</v>
      </c>
      <c r="F7" s="29" t="s">
        <v>125</v>
      </c>
      <c r="G7" s="29" t="s">
        <v>125</v>
      </c>
      <c r="H7" s="29" t="s">
        <v>125</v>
      </c>
      <c r="I7" s="29" t="s">
        <v>125</v>
      </c>
      <c r="J7" s="29" t="s">
        <v>125</v>
      </c>
    </row>
    <row r="8" spans="1:10" ht="12">
      <c r="A8" s="29" t="s">
        <v>13</v>
      </c>
      <c r="B8" s="29" t="s">
        <v>125</v>
      </c>
      <c r="C8" s="29" t="s">
        <v>125</v>
      </c>
      <c r="D8" s="62" t="s">
        <v>125</v>
      </c>
      <c r="E8" s="29" t="s">
        <v>125</v>
      </c>
      <c r="F8" s="29" t="s">
        <v>125</v>
      </c>
      <c r="G8" s="29" t="s">
        <v>125</v>
      </c>
      <c r="H8" s="29" t="s">
        <v>125</v>
      </c>
      <c r="I8" s="29" t="s">
        <v>125</v>
      </c>
      <c r="J8" s="29" t="s">
        <v>125</v>
      </c>
    </row>
    <row r="9" spans="1:10" ht="12">
      <c r="A9" s="29" t="s">
        <v>27</v>
      </c>
      <c r="C9" s="29" t="s">
        <v>125</v>
      </c>
      <c r="D9" s="29" t="s">
        <v>125</v>
      </c>
      <c r="E9" s="29" t="s">
        <v>125</v>
      </c>
      <c r="F9" s="29" t="s">
        <v>125</v>
      </c>
      <c r="G9" s="29" t="s">
        <v>125</v>
      </c>
      <c r="I9" s="29" t="s">
        <v>125</v>
      </c>
      <c r="J9" s="29" t="s">
        <v>125</v>
      </c>
    </row>
    <row r="10" spans="1:10" ht="12">
      <c r="A10" s="29" t="s">
        <v>14</v>
      </c>
      <c r="B10" s="29" t="s">
        <v>125</v>
      </c>
      <c r="C10" s="29" t="s">
        <v>125</v>
      </c>
      <c r="D10" s="29" t="s">
        <v>125</v>
      </c>
      <c r="E10" s="29" t="s">
        <v>125</v>
      </c>
      <c r="F10" s="29" t="s">
        <v>125</v>
      </c>
      <c r="G10" s="29" t="s">
        <v>125</v>
      </c>
      <c r="H10" s="29" t="s">
        <v>125</v>
      </c>
      <c r="I10" s="29" t="s">
        <v>125</v>
      </c>
      <c r="J10" s="29" t="s">
        <v>125</v>
      </c>
    </row>
    <row r="11" spans="1:10" ht="12">
      <c r="A11" s="29" t="s">
        <v>136</v>
      </c>
      <c r="C11" s="29" t="s">
        <v>125</v>
      </c>
      <c r="D11" s="29" t="s">
        <v>125</v>
      </c>
      <c r="E11" s="29" t="s">
        <v>125</v>
      </c>
      <c r="F11" s="29" t="s">
        <v>125</v>
      </c>
      <c r="G11" s="29" t="s">
        <v>125</v>
      </c>
      <c r="H11" s="29" t="s">
        <v>125</v>
      </c>
      <c r="I11" s="29" t="s">
        <v>125</v>
      </c>
      <c r="J11" s="29" t="s">
        <v>125</v>
      </c>
    </row>
    <row r="12" spans="4:26" s="27" customFormat="1" ht="11.25">
      <c r="D12" s="13"/>
      <c r="S12" s="13"/>
      <c r="T12" s="13" t="s">
        <v>198</v>
      </c>
      <c r="U12" s="13"/>
      <c r="V12" s="13"/>
      <c r="W12" s="13"/>
      <c r="X12" s="13"/>
      <c r="Y12" s="13"/>
      <c r="Z12" s="13"/>
    </row>
    <row r="13" spans="1:43" s="27" customFormat="1" ht="11.25">
      <c r="A13" s="15"/>
      <c r="B13" s="13" t="s">
        <v>218</v>
      </c>
      <c r="C13" s="13" t="s">
        <v>175</v>
      </c>
      <c r="D13" s="13" t="s">
        <v>219</v>
      </c>
      <c r="E13" s="13" t="s">
        <v>220</v>
      </c>
      <c r="F13" s="13" t="s">
        <v>221</v>
      </c>
      <c r="G13" s="13" t="s">
        <v>222</v>
      </c>
      <c r="H13" s="13" t="s">
        <v>223</v>
      </c>
      <c r="I13" s="13" t="s">
        <v>224</v>
      </c>
      <c r="J13" s="13" t="s">
        <v>178</v>
      </c>
      <c r="AH13" s="15"/>
      <c r="AI13" s="15"/>
      <c r="AN13" s="13"/>
      <c r="AO13" s="13"/>
      <c r="AP13" s="13"/>
      <c r="AQ13" s="13"/>
    </row>
    <row r="14" spans="1:35" ht="12">
      <c r="A14" s="61" t="s">
        <v>112</v>
      </c>
      <c r="B14" s="64" t="s">
        <v>200</v>
      </c>
      <c r="C14" s="64" t="s">
        <v>135</v>
      </c>
      <c r="D14" s="64" t="s">
        <v>203</v>
      </c>
      <c r="E14" s="64" t="s">
        <v>203</v>
      </c>
      <c r="F14" s="64" t="s">
        <v>203</v>
      </c>
      <c r="G14" s="64" t="s">
        <v>200</v>
      </c>
      <c r="H14" s="64" t="s">
        <v>200</v>
      </c>
      <c r="I14" s="65" t="s">
        <v>204</v>
      </c>
      <c r="J14" s="64" t="s">
        <v>204</v>
      </c>
      <c r="AH14" s="60"/>
      <c r="AI14" s="60"/>
    </row>
    <row r="15" spans="1:35" ht="12">
      <c r="A15" s="29" t="s">
        <v>11</v>
      </c>
      <c r="B15" s="29" t="s">
        <v>125</v>
      </c>
      <c r="C15" s="29" t="s">
        <v>125</v>
      </c>
      <c r="D15" s="29" t="s">
        <v>125</v>
      </c>
      <c r="E15" s="29" t="s">
        <v>125</v>
      </c>
      <c r="F15" s="29" t="s">
        <v>125</v>
      </c>
      <c r="G15" s="29" t="s">
        <v>125</v>
      </c>
      <c r="H15" s="29" t="s">
        <v>125</v>
      </c>
      <c r="I15" s="29" t="s">
        <v>125</v>
      </c>
      <c r="J15" s="29" t="s">
        <v>125</v>
      </c>
      <c r="AH15" s="60"/>
      <c r="AI15" s="60"/>
    </row>
    <row r="16" spans="1:10" ht="12">
      <c r="A16" s="29" t="s">
        <v>12</v>
      </c>
      <c r="B16" s="29" t="s">
        <v>125</v>
      </c>
      <c r="C16" s="29" t="s">
        <v>125</v>
      </c>
      <c r="D16" s="29" t="s">
        <v>125</v>
      </c>
      <c r="E16" s="29" t="s">
        <v>125</v>
      </c>
      <c r="F16" s="29" t="s">
        <v>125</v>
      </c>
      <c r="G16" s="29" t="s">
        <v>125</v>
      </c>
      <c r="H16" s="29" t="s">
        <v>125</v>
      </c>
      <c r="I16" s="29" t="s">
        <v>125</v>
      </c>
      <c r="J16" s="29" t="s">
        <v>125</v>
      </c>
    </row>
    <row r="17" spans="1:10" ht="12">
      <c r="A17" s="29" t="s">
        <v>13</v>
      </c>
      <c r="B17" s="29" t="s">
        <v>125</v>
      </c>
      <c r="C17" s="29" t="s">
        <v>125</v>
      </c>
      <c r="D17" s="29" t="s">
        <v>125</v>
      </c>
      <c r="E17" s="29" t="s">
        <v>125</v>
      </c>
      <c r="F17" s="29" t="s">
        <v>125</v>
      </c>
      <c r="G17" s="29" t="s">
        <v>125</v>
      </c>
      <c r="H17" s="29" t="s">
        <v>125</v>
      </c>
      <c r="I17" s="29" t="s">
        <v>125</v>
      </c>
      <c r="J17" s="29" t="s">
        <v>125</v>
      </c>
    </row>
    <row r="18" spans="1:10" ht="12">
      <c r="A18" s="29" t="s">
        <v>27</v>
      </c>
      <c r="C18" s="29" t="s">
        <v>125</v>
      </c>
      <c r="D18" s="29" t="s">
        <v>125</v>
      </c>
      <c r="E18" s="29" t="s">
        <v>125</v>
      </c>
      <c r="F18" s="29" t="s">
        <v>125</v>
      </c>
      <c r="G18" s="29" t="s">
        <v>125</v>
      </c>
      <c r="I18" s="29" t="s">
        <v>125</v>
      </c>
      <c r="J18" s="29" t="s">
        <v>125</v>
      </c>
    </row>
    <row r="19" spans="1:10" ht="12">
      <c r="A19" s="29" t="s">
        <v>14</v>
      </c>
      <c r="B19" s="29" t="s">
        <v>125</v>
      </c>
      <c r="C19" s="29" t="s">
        <v>125</v>
      </c>
      <c r="D19" s="29" t="s">
        <v>125</v>
      </c>
      <c r="E19" s="29" t="s">
        <v>125</v>
      </c>
      <c r="F19" s="29" t="s">
        <v>125</v>
      </c>
      <c r="G19" s="29" t="s">
        <v>125</v>
      </c>
      <c r="H19" s="29" t="s">
        <v>125</v>
      </c>
      <c r="I19" s="29" t="s">
        <v>125</v>
      </c>
      <c r="J19" s="29" t="s">
        <v>125</v>
      </c>
    </row>
    <row r="20" spans="1:10" ht="12">
      <c r="A20" s="29" t="s">
        <v>136</v>
      </c>
      <c r="B20" s="29" t="s">
        <v>125</v>
      </c>
      <c r="C20" s="29" t="s">
        <v>125</v>
      </c>
      <c r="D20" s="29" t="s">
        <v>125</v>
      </c>
      <c r="I20" s="29" t="s">
        <v>125</v>
      </c>
      <c r="J20" s="29" t="s">
        <v>125</v>
      </c>
    </row>
    <row r="21" spans="2:7" ht="12">
      <c r="B21" s="13"/>
      <c r="C21" s="13"/>
      <c r="D21" s="13"/>
      <c r="E21" s="13"/>
      <c r="F21" s="13"/>
      <c r="G21" s="13"/>
    </row>
    <row r="22" spans="2:11" ht="12">
      <c r="B22" s="13" t="s">
        <v>26</v>
      </c>
      <c r="C22" s="13" t="s">
        <v>225</v>
      </c>
      <c r="D22" s="13" t="s">
        <v>226</v>
      </c>
      <c r="E22" s="13" t="s">
        <v>227</v>
      </c>
      <c r="F22" s="13" t="s">
        <v>228</v>
      </c>
      <c r="G22" s="13" t="s">
        <v>229</v>
      </c>
      <c r="H22" s="13" t="s">
        <v>230</v>
      </c>
      <c r="I22" s="13" t="s">
        <v>231</v>
      </c>
      <c r="J22" s="13" t="s">
        <v>232</v>
      </c>
      <c r="K22" s="13" t="s">
        <v>233</v>
      </c>
    </row>
    <row r="23" spans="1:11" ht="12">
      <c r="A23" s="61" t="s">
        <v>112</v>
      </c>
      <c r="B23" s="64" t="s">
        <v>207</v>
      </c>
      <c r="C23" s="64" t="s">
        <v>200</v>
      </c>
      <c r="D23" s="64" t="s">
        <v>200</v>
      </c>
      <c r="E23" s="64" t="s">
        <v>200</v>
      </c>
      <c r="F23" s="64" t="s">
        <v>200</v>
      </c>
      <c r="G23" s="64" t="s">
        <v>200</v>
      </c>
      <c r="H23" s="64" t="s">
        <v>200</v>
      </c>
      <c r="I23" s="64" t="s">
        <v>200</v>
      </c>
      <c r="J23" s="64" t="s">
        <v>200</v>
      </c>
      <c r="K23" s="64" t="s">
        <v>200</v>
      </c>
    </row>
    <row r="24" spans="1:11" ht="12">
      <c r="A24" s="29" t="s">
        <v>11</v>
      </c>
      <c r="B24" s="29" t="s">
        <v>125</v>
      </c>
      <c r="C24" s="29" t="s">
        <v>125</v>
      </c>
      <c r="D24" s="29" t="s">
        <v>125</v>
      </c>
      <c r="E24" s="29" t="s">
        <v>125</v>
      </c>
      <c r="F24" s="29" t="s">
        <v>125</v>
      </c>
      <c r="G24" s="29" t="s">
        <v>125</v>
      </c>
      <c r="H24" s="29" t="s">
        <v>125</v>
      </c>
      <c r="I24" s="29" t="s">
        <v>125</v>
      </c>
      <c r="J24" s="29" t="s">
        <v>125</v>
      </c>
      <c r="K24" s="29" t="s">
        <v>125</v>
      </c>
    </row>
    <row r="25" spans="1:11" ht="12">
      <c r="A25" s="29" t="s">
        <v>12</v>
      </c>
      <c r="B25" s="17" t="s">
        <v>125</v>
      </c>
      <c r="C25" s="17" t="s">
        <v>125</v>
      </c>
      <c r="D25" s="29" t="s">
        <v>125</v>
      </c>
      <c r="E25" s="29" t="s">
        <v>125</v>
      </c>
      <c r="F25" s="29" t="s">
        <v>125</v>
      </c>
      <c r="G25" s="17" t="s">
        <v>125</v>
      </c>
      <c r="H25" s="17" t="s">
        <v>125</v>
      </c>
      <c r="I25" s="29" t="s">
        <v>125</v>
      </c>
      <c r="J25" s="29" t="s">
        <v>125</v>
      </c>
      <c r="K25" s="29" t="s">
        <v>125</v>
      </c>
    </row>
    <row r="26" spans="1:11" ht="12">
      <c r="A26" s="29" t="s">
        <v>13</v>
      </c>
      <c r="B26" s="17" t="s">
        <v>125</v>
      </c>
      <c r="C26" s="17" t="s">
        <v>125</v>
      </c>
      <c r="D26" s="29" t="s">
        <v>125</v>
      </c>
      <c r="E26" s="29" t="s">
        <v>125</v>
      </c>
      <c r="F26" s="29" t="s">
        <v>125</v>
      </c>
      <c r="G26" s="17" t="s">
        <v>125</v>
      </c>
      <c r="H26" s="17" t="s">
        <v>125</v>
      </c>
      <c r="I26" s="29" t="s">
        <v>125</v>
      </c>
      <c r="J26" s="29" t="s">
        <v>125</v>
      </c>
      <c r="K26" s="29" t="s">
        <v>125</v>
      </c>
    </row>
    <row r="27" spans="1:11" ht="12">
      <c r="A27" s="29" t="s">
        <v>27</v>
      </c>
      <c r="B27" s="29" t="s">
        <v>125</v>
      </c>
      <c r="D27" s="29" t="s">
        <v>125</v>
      </c>
      <c r="E27" s="29" t="s">
        <v>125</v>
      </c>
      <c r="F27" s="29" t="s">
        <v>125</v>
      </c>
      <c r="J27" s="29" t="s">
        <v>125</v>
      </c>
      <c r="K27" s="29" t="s">
        <v>125</v>
      </c>
    </row>
    <row r="28" spans="1:2" ht="12">
      <c r="A28" s="29" t="s">
        <v>14</v>
      </c>
      <c r="B28" s="29" t="s">
        <v>125</v>
      </c>
    </row>
    <row r="29" spans="1:11" ht="12">
      <c r="A29" s="29" t="s">
        <v>136</v>
      </c>
      <c r="B29" s="29" t="s">
        <v>125</v>
      </c>
      <c r="C29" s="29" t="s">
        <v>125</v>
      </c>
      <c r="D29" s="29" t="s">
        <v>125</v>
      </c>
      <c r="E29" s="29" t="s">
        <v>125</v>
      </c>
      <c r="F29" s="29" t="s">
        <v>125</v>
      </c>
      <c r="G29" s="29" t="s">
        <v>125</v>
      </c>
      <c r="H29" s="29" t="s">
        <v>125</v>
      </c>
      <c r="I29" s="29" t="s">
        <v>125</v>
      </c>
      <c r="J29" s="29" t="s">
        <v>125</v>
      </c>
      <c r="K29" s="29" t="s">
        <v>125</v>
      </c>
    </row>
    <row r="30" spans="2:10" ht="12">
      <c r="B30" s="13"/>
      <c r="C30" s="13"/>
      <c r="D30" s="15"/>
      <c r="E30" s="15"/>
      <c r="F30" s="15"/>
      <c r="G30" s="15"/>
      <c r="H30" s="15"/>
      <c r="I30" s="15"/>
      <c r="J30" s="15"/>
    </row>
    <row r="31" spans="2:11" ht="12">
      <c r="B31" s="13" t="s">
        <v>234</v>
      </c>
      <c r="C31" s="13" t="s">
        <v>235</v>
      </c>
      <c r="D31" s="13" t="s">
        <v>236</v>
      </c>
      <c r="E31" s="13" t="s">
        <v>237</v>
      </c>
      <c r="F31" s="13" t="s">
        <v>238</v>
      </c>
      <c r="G31" s="13" t="s">
        <v>239</v>
      </c>
      <c r="H31" s="13" t="s">
        <v>240</v>
      </c>
      <c r="I31" s="13" t="s">
        <v>58</v>
      </c>
      <c r="J31" s="13" t="s">
        <v>241</v>
      </c>
      <c r="K31" s="13" t="s">
        <v>242</v>
      </c>
    </row>
    <row r="32" spans="1:11" ht="12">
      <c r="A32" s="61" t="s">
        <v>112</v>
      </c>
      <c r="B32" s="64" t="s">
        <v>200</v>
      </c>
      <c r="C32" s="64" t="s">
        <v>200</v>
      </c>
      <c r="D32" s="64" t="s">
        <v>200</v>
      </c>
      <c r="E32" s="64" t="s">
        <v>200</v>
      </c>
      <c r="F32" s="64" t="s">
        <v>200</v>
      </c>
      <c r="G32" s="64" t="s">
        <v>200</v>
      </c>
      <c r="H32" s="64" t="s">
        <v>206</v>
      </c>
      <c r="I32" s="64" t="s">
        <v>206</v>
      </c>
      <c r="J32" s="64" t="s">
        <v>206</v>
      </c>
      <c r="K32" s="64" t="s">
        <v>208</v>
      </c>
    </row>
    <row r="33" spans="1:7" ht="12">
      <c r="A33" s="29" t="s">
        <v>11</v>
      </c>
      <c r="B33" s="29" t="s">
        <v>125</v>
      </c>
      <c r="C33" s="29" t="s">
        <v>125</v>
      </c>
      <c r="D33" s="29" t="s">
        <v>125</v>
      </c>
      <c r="E33" s="29" t="s">
        <v>125</v>
      </c>
      <c r="F33" s="29" t="s">
        <v>125</v>
      </c>
      <c r="G33" s="29" t="s">
        <v>125</v>
      </c>
    </row>
    <row r="34" spans="1:7" ht="12">
      <c r="A34" s="29" t="s">
        <v>12</v>
      </c>
      <c r="B34" s="29" t="s">
        <v>125</v>
      </c>
      <c r="C34" s="29" t="s">
        <v>125</v>
      </c>
      <c r="D34" s="29" t="s">
        <v>125</v>
      </c>
      <c r="E34" s="29" t="s">
        <v>125</v>
      </c>
      <c r="F34" s="29" t="s">
        <v>125</v>
      </c>
      <c r="G34" s="29" t="s">
        <v>125</v>
      </c>
    </row>
    <row r="35" spans="1:7" ht="12">
      <c r="A35" s="29" t="s">
        <v>13</v>
      </c>
      <c r="B35" s="29" t="s">
        <v>125</v>
      </c>
      <c r="C35" s="29" t="s">
        <v>125</v>
      </c>
      <c r="D35" s="29" t="s">
        <v>125</v>
      </c>
      <c r="E35" s="29" t="s">
        <v>125</v>
      </c>
      <c r="F35" s="29" t="s">
        <v>125</v>
      </c>
      <c r="G35" s="29" t="s">
        <v>125</v>
      </c>
    </row>
    <row r="36" spans="1:5" ht="12">
      <c r="A36" s="29" t="s">
        <v>27</v>
      </c>
      <c r="C36" s="29" t="s">
        <v>125</v>
      </c>
      <c r="E36" s="29" t="s">
        <v>125</v>
      </c>
    </row>
    <row r="37" ht="12">
      <c r="A37" s="29" t="s">
        <v>14</v>
      </c>
    </row>
    <row r="38" spans="1:11" ht="12">
      <c r="A38" s="29" t="s">
        <v>136</v>
      </c>
      <c r="B38" s="29" t="s">
        <v>125</v>
      </c>
      <c r="C38" s="29" t="s">
        <v>125</v>
      </c>
      <c r="D38" s="29" t="s">
        <v>125</v>
      </c>
      <c r="E38" s="29" t="s">
        <v>125</v>
      </c>
      <c r="F38" s="29" t="s">
        <v>125</v>
      </c>
      <c r="G38" s="29" t="s">
        <v>125</v>
      </c>
      <c r="H38" s="29" t="s">
        <v>125</v>
      </c>
      <c r="I38" s="29" t="s">
        <v>125</v>
      </c>
      <c r="J38" s="29" t="s">
        <v>125</v>
      </c>
      <c r="K38" s="29" t="s">
        <v>125</v>
      </c>
    </row>
    <row r="39" spans="5:7" ht="12">
      <c r="E39" s="15"/>
      <c r="F39" s="15"/>
      <c r="G39" s="15"/>
    </row>
    <row r="41" ht="12">
      <c r="A41" s="23"/>
    </row>
    <row r="42" ht="12">
      <c r="A42" s="60"/>
    </row>
    <row r="43" ht="12">
      <c r="A43" s="60"/>
    </row>
    <row r="44" ht="12">
      <c r="A44" s="60"/>
    </row>
    <row r="45" ht="12">
      <c r="A45" s="60"/>
    </row>
    <row r="46" ht="12">
      <c r="A46" s="60"/>
    </row>
    <row r="47" ht="12">
      <c r="A47" s="60"/>
    </row>
    <row r="48" spans="2:5" ht="12">
      <c r="B48" s="13"/>
      <c r="C48" s="13"/>
      <c r="D48" s="15"/>
      <c r="E48" s="15"/>
    </row>
    <row r="50" ht="12">
      <c r="A50" s="61"/>
    </row>
    <row r="58" spans="2:3" ht="12">
      <c r="B58" s="13"/>
      <c r="C58" s="13"/>
    </row>
    <row r="60" ht="12">
      <c r="A60" s="6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 R C O 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R C O G</dc:creator>
  <cp:keywords/>
  <dc:description/>
  <cp:lastModifiedBy>Julie Vlier</cp:lastModifiedBy>
  <cp:lastPrinted>2000-11-03T18:11:44Z</cp:lastPrinted>
  <dcterms:created xsi:type="dcterms:W3CDTF">1998-04-15T20:46:00Z</dcterms:created>
  <dcterms:modified xsi:type="dcterms:W3CDTF">2008-03-05T20:57:26Z</dcterms:modified>
  <cp:category/>
  <cp:version/>
  <cp:contentType/>
  <cp:contentStatus/>
</cp:coreProperties>
</file>