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9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20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1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22.xml" ContentType="application/vnd.openxmlformats-officedocument.drawing+xml"/>
  <Override PartName="/xl/worksheets/sheet43.xml" ContentType="application/vnd.openxmlformats-officedocument.spreadsheetml.worksheet+xml"/>
  <Override PartName="/xl/drawings/drawing23.xml" ContentType="application/vnd.openxmlformats-officedocument.drawing+xml"/>
  <Override PartName="/xl/worksheets/sheet44.xml" ContentType="application/vnd.openxmlformats-officedocument.spreadsheetml.worksheet+xml"/>
  <Override PartName="/xl/drawings/drawing24.xml" ContentType="application/vnd.openxmlformats-officedocument.drawing+xml"/>
  <Override PartName="/xl/worksheets/sheet45.xml" ContentType="application/vnd.openxmlformats-officedocument.spreadsheetml.worksheet+xml"/>
  <Override PartName="/xl/drawings/drawing26.xml" ContentType="application/vnd.openxmlformats-officedocument.drawing+xml"/>
  <Override PartName="/xl/worksheets/sheet46.xml" ContentType="application/vnd.openxmlformats-officedocument.spreadsheetml.worksheet+xml"/>
  <Override PartName="/xl/drawings/drawing27.xml" ContentType="application/vnd.openxmlformats-officedocument.drawing+xml"/>
  <Override PartName="/xl/worksheets/sheet47.xml" ContentType="application/vnd.openxmlformats-officedocument.spreadsheetml.worksheet+xml"/>
  <Override PartName="/xl/drawings/drawing28.xml" ContentType="application/vnd.openxmlformats-officedocument.drawing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Default Extension="vml" ContentType="application/vnd.openxmlformats-officedocument.vmlDrawing"/>
  <Override PartName="/xl/drawings/drawing29.xml" ContentType="application/vnd.openxmlformats-officedocument.drawing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drawings/drawing30.xml" ContentType="application/vnd.openxmlformats-officedocument.drawing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drawings/drawing31.xml" ContentType="application/vnd.openxmlformats-officedocument.drawing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drawings/drawing32.xml" ContentType="application/vnd.openxmlformats-officedocument.drawing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7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06" yWindow="90" windowWidth="8640" windowHeight="3660" tabRatio="830" firstSheet="55" activeTab="64"/>
  </bookViews>
  <sheets>
    <sheet name="Parameter" sheetId="1" r:id="rId1"/>
    <sheet name="MDL &amp; Reporting Limit (PQL)" sheetId="2" r:id="rId2"/>
    <sheet name="Metal Standards" sheetId="3" r:id="rId3"/>
    <sheet name="Trophic Indicators" sheetId="4" r:id="rId4"/>
    <sheet name="Loading Trends" sheetId="5" r:id="rId5"/>
    <sheet name="2005 Loading" sheetId="6" r:id="rId6"/>
    <sheet name="TMAL" sheetId="7" r:id="rId7"/>
    <sheet name="Reservoir Sediments" sheetId="8" r:id="rId8"/>
    <sheet name="Reservoir Trends" sheetId="9" r:id="rId9"/>
    <sheet name="Growing Season Nutrients" sheetId="10" r:id="rId10"/>
    <sheet name="2005 Walker Carlson" sheetId="11" r:id="rId11"/>
    <sheet name="Secchi Trend" sheetId="12" r:id="rId12"/>
    <sheet name="Nutrient Trends" sheetId="13" r:id="rId13"/>
    <sheet name="Water Column Profile pH" sheetId="14" r:id="rId14"/>
    <sheet name="Water Column Profile Temp " sheetId="15" r:id="rId15"/>
    <sheet name="Water Column Profile DO" sheetId="16" r:id="rId16"/>
    <sheet name="Water Column Profile Cond" sheetId="17" r:id="rId17"/>
    <sheet name="Alkalinity as CaCO3" sheetId="18" r:id="rId18"/>
    <sheet name="Arsenic, dissolved" sheetId="19" r:id="rId19"/>
    <sheet name="Arsenic, total (3050, Sediment)" sheetId="20" r:id="rId20"/>
    <sheet name="Cadmium, dissolved" sheetId="21" r:id="rId21"/>
    <sheet name="Cadmium, total (3050,Sediment)" sheetId="22" r:id="rId22"/>
    <sheet name="Carbon, total organic (TOC)" sheetId="23" r:id="rId23"/>
    <sheet name="Chlorophyll a" sheetId="24" r:id="rId24"/>
    <sheet name="Chromium, dissolved" sheetId="25" r:id="rId25"/>
    <sheet name="Clay" sheetId="26" r:id="rId26"/>
    <sheet name="Conductivity" sheetId="27" r:id="rId27"/>
    <sheet name="Copper, dissolved" sheetId="28" r:id="rId28"/>
    <sheet name="Copper, total (3050,Sediment)" sheetId="29" r:id="rId29"/>
    <sheet name="Cyanide, WAD" sheetId="30" r:id="rId30"/>
    <sheet name="E. Coli" sheetId="31" r:id="rId31"/>
    <sheet name="Hardness as CaCO3" sheetId="32" r:id="rId32"/>
    <sheet name="Instantaneous Streamflow" sheetId="33" r:id="rId33"/>
    <sheet name="Iron, dissolved" sheetId="34" r:id="rId34"/>
    <sheet name="Iron, total recoverable" sheetId="35" r:id="rId35"/>
    <sheet name="Lead, dissolved" sheetId="36" r:id="rId36"/>
    <sheet name="Lead, total (3050,Sediment)" sheetId="37" r:id="rId37"/>
    <sheet name="Manganese, dissolved" sheetId="38" r:id="rId38"/>
    <sheet name="Mercury, dissolved" sheetId="39" r:id="rId39"/>
    <sheet name="Mercury, Sediment total" sheetId="40" r:id="rId40"/>
    <sheet name="Nickel, dissolved" sheetId="41" r:id="rId41"/>
    <sheet name="Nitrate-Nitrite as N, dissolve" sheetId="42" r:id="rId42"/>
    <sheet name="Nitrogen, ammonia" sheetId="43" r:id="rId43"/>
    <sheet name="Nitrogen, total" sheetId="44" r:id="rId44"/>
    <sheet name="Oxygen, dissolved" sheetId="45" r:id="rId45"/>
    <sheet name="pH" sheetId="46" r:id="rId46"/>
    <sheet name="Phosphorus, ortho total" sheetId="47" r:id="rId47"/>
    <sheet name="Phosphorus, particulate" sheetId="48" r:id="rId48"/>
    <sheet name="Phosphorus, total" sheetId="49" r:id="rId49"/>
    <sheet name="Phosphorus, total dissolved" sheetId="50" r:id="rId50"/>
    <sheet name="Residue, Non-Filterable (TSS)" sheetId="51" r:id="rId51"/>
    <sheet name="Sampling depth" sheetId="52" r:id="rId52"/>
    <sheet name="Sand" sheetId="53" r:id="rId53"/>
    <sheet name="Secchi depth" sheetId="54" r:id="rId54"/>
    <sheet name="Selenium, dissolved" sheetId="55" r:id="rId55"/>
    <sheet name="Selenium, total (3050,Sediment)" sheetId="56" r:id="rId56"/>
    <sheet name="Silt" sheetId="57" r:id="rId57"/>
    <sheet name="Silver, dissolved" sheetId="58" r:id="rId58"/>
    <sheet name="Solids, Percent" sheetId="59" r:id="rId59"/>
    <sheet name="Temperature" sheetId="60" r:id="rId60"/>
    <sheet name="Time" sheetId="61" r:id="rId61"/>
    <sheet name="Total Depth" sheetId="62" r:id="rId62"/>
    <sheet name="Zinc, dissolved" sheetId="63" r:id="rId63"/>
    <sheet name="Massey Draw" sheetId="64" r:id="rId64"/>
    <sheet name="Trout Creek" sheetId="65" r:id="rId65"/>
  </sheets>
  <externalReferences>
    <externalReference r:id="rId68"/>
  </externalReferences>
  <definedNames>
    <definedName name="_xlnm.Print_Area" localSheetId="63">'Massey Draw'!$A$1:$O$39</definedName>
    <definedName name="_xlnm.Print_Area" localSheetId="2">'Metal Standards'!$A$1:$J$34</definedName>
    <definedName name="_xlnm.Print_Area" localSheetId="6">'TMAL'!$A$22:$G$32</definedName>
    <definedName name="_xlnm.Print_Area">'/Documents and Settings\Russell N. Clayshult\My Documents\Chatfield Authority\Data and Annual Report 2003\[Annual Report 2003 Data.xls]2003 Walker-carlson'!$P$1:$V$25</definedName>
    <definedName name="PRINT_AREA_MI">'[1]2003 Walker-carlson'!$P$1:$V$25</definedName>
    <definedName name="_xlnm.Print_Titles" localSheetId="1">'MDL &amp; Reporting Limit (PQL)'!$1:$1</definedName>
  </definedNames>
  <calcPr fullCalcOnLoad="1"/>
</workbook>
</file>

<file path=xl/comments49.xml><?xml version="1.0" encoding="utf-8"?>
<comments xmlns="http://schemas.openxmlformats.org/spreadsheetml/2006/main">
  <authors>
    <author>Russell N. Clayshulte</author>
  </authors>
  <commentList>
    <comment ref="V4" authorId="0">
      <text>
        <r>
          <rPr>
            <b/>
            <sz val="8"/>
            <rFont val="Tahoma"/>
            <family val="0"/>
          </rPr>
          <t>Russell N. Clayshulte: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<sst xmlns="http://schemas.openxmlformats.org/spreadsheetml/2006/main" count="1903" uniqueCount="621">
  <si>
    <t>Station Name</t>
  </si>
  <si>
    <t>Chatfield In-Reservoir Near Dam - Bottom</t>
  </si>
  <si>
    <t>Chatfield In-Reservoir Near Dam - Mid</t>
  </si>
  <si>
    <t>Chatfield In-Reservoir Near Dam - Top</t>
  </si>
  <si>
    <t>Outfall from Chatfield Res., 06709601</t>
  </si>
  <si>
    <t>Plum Creek at Titan Road, 06709530</t>
  </si>
  <si>
    <t>South Platte at Waterton, 06708000</t>
  </si>
  <si>
    <t>Massey Draw</t>
  </si>
  <si>
    <t>Chatfield In-Reservoir Near Dam</t>
  </si>
  <si>
    <t>ANALYTE</t>
  </si>
  <si>
    <t>METHOD</t>
  </si>
  <si>
    <t>UNITS</t>
  </si>
  <si>
    <t>MDL</t>
  </si>
  <si>
    <t>PQL</t>
  </si>
  <si>
    <t>Arsenic, dissolved</t>
  </si>
  <si>
    <t xml:space="preserve">M200.8 ICP-MS </t>
  </si>
  <si>
    <t>mg/L</t>
  </si>
  <si>
    <t xml:space="preserve">Arsenic, total </t>
  </si>
  <si>
    <t xml:space="preserve">Cadmium, dissolved </t>
  </si>
  <si>
    <t>M200.8 ICP-MS</t>
  </si>
  <si>
    <t>Carbon, total organic (TOC)</t>
  </si>
  <si>
    <t>M415.1 Combustion/IR</t>
  </si>
  <si>
    <r>
      <t xml:space="preserve">Chlorophyll </t>
    </r>
    <r>
      <rPr>
        <i/>
        <sz val="10"/>
        <rFont val="Arial"/>
        <family val="2"/>
      </rPr>
      <t>a</t>
    </r>
  </si>
  <si>
    <t>10200 H (modified)</t>
  </si>
  <si>
    <r>
      <t>mg/m</t>
    </r>
    <r>
      <rPr>
        <vertAlign val="superscript"/>
        <sz val="10"/>
        <rFont val="Arial"/>
        <family val="2"/>
      </rPr>
      <t>3</t>
    </r>
  </si>
  <si>
    <t xml:space="preserve">Chromium, dissolved </t>
  </si>
  <si>
    <t xml:space="preserve">M200.7 ICP </t>
  </si>
  <si>
    <t xml:space="preserve">Copper, dissolved </t>
  </si>
  <si>
    <t>E. coli</t>
  </si>
  <si>
    <t>9223 B</t>
  </si>
  <si>
    <t>#/100 ml</t>
  </si>
  <si>
    <t>Hardness as CaCO3</t>
  </si>
  <si>
    <t>2340 C (modified)</t>
  </si>
  <si>
    <t>Iron, dissolved</t>
  </si>
  <si>
    <t>M200.7 ICP</t>
  </si>
  <si>
    <t xml:space="preserve">Iron, total recoverable </t>
  </si>
  <si>
    <t xml:space="preserve">Lead, dissolved </t>
  </si>
  <si>
    <t xml:space="preserve">Manganese, dissolved </t>
  </si>
  <si>
    <t>Mercury, dissolved</t>
  </si>
  <si>
    <t xml:space="preserve">M245.1 CVAA </t>
  </si>
  <si>
    <t xml:space="preserve">Nickel, dissolved </t>
  </si>
  <si>
    <t>Nitrate/Nitrite as N, dissolve</t>
  </si>
  <si>
    <t>4500-NO3 I</t>
  </si>
  <si>
    <t>Nitrogen, ammonia</t>
  </si>
  <si>
    <t>QuickChem 10-107-06-3-D</t>
  </si>
  <si>
    <t>Nitrogen, total</t>
  </si>
  <si>
    <t>4500-N B (modified)</t>
  </si>
  <si>
    <t>Phosphorus, ortho total</t>
  </si>
  <si>
    <t>4500-P G</t>
  </si>
  <si>
    <t>Phosphorus, particulate</t>
  </si>
  <si>
    <t>calculation</t>
  </si>
  <si>
    <t>Phosphorus, total dissolved</t>
  </si>
  <si>
    <t>4500-P G, with manual digestion</t>
  </si>
  <si>
    <t xml:space="preserve">Residue, Non-Filterable (TSS) </t>
  </si>
  <si>
    <t>2540 D</t>
  </si>
  <si>
    <t xml:space="preserve">Selenium, dissolved </t>
  </si>
  <si>
    <t xml:space="preserve">SM 3114 B, AA-Hydride </t>
  </si>
  <si>
    <t xml:space="preserve">Silver, dissolved </t>
  </si>
  <si>
    <t xml:space="preserve">Zinc, dissolved </t>
  </si>
  <si>
    <t>Chatfield Reservoir Near Dam</t>
  </si>
  <si>
    <t>pH Standard unit</t>
  </si>
  <si>
    <t>(measured thru ice)</t>
  </si>
  <si>
    <t>Depth (m)</t>
  </si>
  <si>
    <t>Temperature Degrees C</t>
  </si>
  <si>
    <t>Dissolved Oxygen(mg/l)</t>
  </si>
  <si>
    <t>Specific Conductivity mS/cm</t>
  </si>
  <si>
    <t>Dissolved Arsenic (mg/l)</t>
  </si>
  <si>
    <t>Dissolved Arsenic (ug/l)</t>
  </si>
  <si>
    <t>Metal </t>
  </si>
  <si>
    <t xml:space="preserve">Assessed Water Quality Standard </t>
  </si>
  <si>
    <t>Standard Type</t>
  </si>
  <si>
    <t>Standard (ug/l)</t>
  </si>
  <si>
    <t>Silver (Dissolved)</t>
  </si>
  <si>
    <t>Ag(ac)=TVS</t>
  </si>
  <si>
    <t> Trout= 0.089 ug/l</t>
  </si>
  <si>
    <t>As(ac)=50(Trec)</t>
  </si>
  <si>
    <t>Cadmium (Dissolved)</t>
  </si>
  <si>
    <t>Cd(ac)=TVS</t>
  </si>
  <si>
    <t> Trout= 4.11 ug/l</t>
  </si>
  <si>
    <t>Chromium VI (Dissolved)</t>
  </si>
  <si>
    <t>CrVI(ac)=TVS</t>
  </si>
  <si>
    <t>Copper (Dissolved)</t>
  </si>
  <si>
    <t>Cu(ac)=TVS</t>
  </si>
  <si>
    <t>Nickel (Dissolved)</t>
  </si>
  <si>
    <t>Ni(ac)=TVS</t>
  </si>
  <si>
    <t>Iron (Dissolved)</t>
  </si>
  <si>
    <t>Fe(ch)=300(dis)</t>
  </si>
  <si>
    <t>Drinking water</t>
  </si>
  <si>
    <t>Iron (Total)</t>
  </si>
  <si>
    <t xml:space="preserve"> Fe(ch)=1000(Trec)</t>
  </si>
  <si>
    <t>Mercury (Dissolved)</t>
  </si>
  <si>
    <t>Hg(ch)=0.01(Tot)</t>
  </si>
  <si>
    <t>dissolved</t>
  </si>
  <si>
    <t>Manganese (Dissolved)</t>
  </si>
  <si>
    <t>Mn(ch)=50(dis)</t>
  </si>
  <si>
    <t>Lead (Dissolved)</t>
  </si>
  <si>
    <t>Pb(ac)=TVS</t>
  </si>
  <si>
    <t>Selenium (Dissolved)</t>
  </si>
  <si>
    <t>Se(ac)=10(Trec)</t>
  </si>
  <si>
    <t>Zinc (Dissolved)</t>
  </si>
  <si>
    <t>Zn(ac)=TVS</t>
  </si>
  <si>
    <t>Sediment - Total Recoverable Arsenic (mg/Kg)</t>
  </si>
  <si>
    <t>Total Phosphorus (mg/L)</t>
  </si>
  <si>
    <t>Total Phosphorus (ug/L)</t>
  </si>
  <si>
    <t>Total Suspended Sediments (mg/L)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</si>
  <si>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</si>
  <si>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</si>
  <si>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</si>
  <si>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</si>
  <si>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</si>
  <si>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</si>
  <si>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</si>
  <si>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</si>
  <si>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</si>
  <si>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</si>
  <si>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</si>
  <si>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</si>
  <si>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Dissolved Zinc (mg/l)</t>
  </si>
  <si>
    <t>Sediment Silt (%)</t>
  </si>
  <si>
    <t>Secchi Depth (meters)</t>
  </si>
  <si>
    <t>Secchi Depth (feet)</t>
  </si>
  <si>
    <t>Max ug/l</t>
  </si>
  <si>
    <t>Alkalinity as CaCO3 (mg/l)</t>
  </si>
  <si>
    <t>Dissolved Mercury (mg/l)</t>
  </si>
  <si>
    <t>Dissolved Lead (mg/l)</t>
  </si>
  <si>
    <t>Dissolved Lead (ug/l)</t>
  </si>
  <si>
    <t>Dissolved Iron (mg/l)</t>
  </si>
  <si>
    <t>Total Recoverable Iron (mg/l)</t>
  </si>
  <si>
    <t>Dissolved Manganese (mg/l)</t>
  </si>
  <si>
    <t>Temperature (Degrees C)</t>
  </si>
  <si>
    <t>Dissolved Selenium (mg/l)</t>
  </si>
  <si>
    <t>Dissolved Silver (mg/l)</t>
  </si>
  <si>
    <t>Sediment - Percent Solids</t>
  </si>
  <si>
    <t>Sample Time (hours/minutes)</t>
  </si>
  <si>
    <t>Total Depth (meters)</t>
  </si>
  <si>
    <t>Sediment Total Selenium (mg/kg)</t>
  </si>
  <si>
    <t>Sediment - Percent Sand</t>
  </si>
  <si>
    <t>Sampling Depth (meters)</t>
  </si>
  <si>
    <t>Dissolved Cadmimum (mg/l)</t>
  </si>
  <si>
    <t>Dissolved Cadmimum (ug/l)</t>
  </si>
  <si>
    <t>Sediment- Total Cadmium (mg/kg)</t>
  </si>
  <si>
    <t>Total Organic Carbon (mg/l)</t>
  </si>
  <si>
    <t>Chlorophyll a (mg/m3)</t>
  </si>
  <si>
    <t>Ortho Phosphorus (mg/L)</t>
  </si>
  <si>
    <t>Ortho Phosphorus (ug/L)</t>
  </si>
  <si>
    <t>Dissolved Oxygen (mg/l)</t>
  </si>
  <si>
    <t>Total Nitrogen (mg/l)</t>
  </si>
  <si>
    <t>Total Nitrogen (ug/l)</t>
  </si>
  <si>
    <t>Nitrate-Nitrite Nitrogen (mg/l)</t>
  </si>
  <si>
    <t>Nitrate-Nitrite Nitrogen (ug/l)</t>
  </si>
  <si>
    <t>Ammonia Nitrogen (mg/l)</t>
  </si>
  <si>
    <t>Dissolved Nickel (mg/l)</t>
  </si>
  <si>
    <t>Sediment Total Lead (mg/kg)</t>
  </si>
  <si>
    <t>Sediment Total Mercury (mg/kg)</t>
  </si>
  <si>
    <t>pH (standard unit)</t>
  </si>
  <si>
    <t>Particulate Phosphorus (mg/l)</t>
  </si>
  <si>
    <t>Total Dissolved Phosphorus (mg/l)</t>
  </si>
  <si>
    <t>Acronym</t>
  </si>
  <si>
    <t>Characteristic</t>
  </si>
  <si>
    <t>Units</t>
  </si>
  <si>
    <t>Sample Fraction</t>
  </si>
  <si>
    <t>Value Type</t>
  </si>
  <si>
    <t>Statistic Type</t>
  </si>
  <si>
    <t>Analytical Procedure</t>
  </si>
  <si>
    <t>As(tot)</t>
  </si>
  <si>
    <t>Arsenic, total</t>
  </si>
  <si>
    <t>mg/l</t>
  </si>
  <si>
    <t>Total</t>
  </si>
  <si>
    <t>Actual</t>
  </si>
  <si>
    <t>N/A</t>
  </si>
  <si>
    <t>M206.2 GFAA</t>
  </si>
  <si>
    <t>Bicarb</t>
  </si>
  <si>
    <t>Bicarbonate as CaCO3</t>
  </si>
  <si>
    <t>M310.1</t>
  </si>
  <si>
    <t>BOD5</t>
  </si>
  <si>
    <t>Biological Oxygen Demand (5 da</t>
  </si>
  <si>
    <t>M405.1</t>
  </si>
  <si>
    <t>Cd(diss)</t>
  </si>
  <si>
    <t>Cadmium, dissolved</t>
  </si>
  <si>
    <t>Dissolved</t>
  </si>
  <si>
    <t>Cd(tot)</t>
  </si>
  <si>
    <t>Cadmium, total (3050)</t>
  </si>
  <si>
    <t>mg/Kg</t>
  </si>
  <si>
    <t>M6010B ICP</t>
  </si>
  <si>
    <t>Ca(diss)</t>
  </si>
  <si>
    <t>Calcium, dissolved</t>
  </si>
  <si>
    <t>M200.7, ICP</t>
  </si>
  <si>
    <t>C(TOC)</t>
  </si>
  <si>
    <t>%</t>
  </si>
  <si>
    <t>ASA No.9 29-2.2.4 Co</t>
  </si>
  <si>
    <t>CO3</t>
  </si>
  <si>
    <t>Carbonate as CaCO3</t>
  </si>
  <si>
    <t>CHLORa</t>
  </si>
  <si>
    <t>Chlorophyll a</t>
  </si>
  <si>
    <t>mg/m3</t>
  </si>
  <si>
    <t>Clay</t>
  </si>
  <si>
    <t>ASTM D 422 Hydromete</t>
  </si>
  <si>
    <t>COLFEC</t>
  </si>
  <si>
    <t>Coliform, Fecal</t>
  </si>
  <si>
    <t>(colonies/100ml)</t>
  </si>
  <si>
    <t>9222 B,D</t>
  </si>
  <si>
    <t>Cond</t>
  </si>
  <si>
    <t>Conductivity</t>
  </si>
  <si>
    <t>ms/cm</t>
  </si>
  <si>
    <t>Horriba U-10</t>
  </si>
  <si>
    <t>LabCond</t>
  </si>
  <si>
    <t>Conductivity @25C</t>
  </si>
  <si>
    <t>umhos/cm</t>
  </si>
  <si>
    <t>M120.1 - Meter</t>
  </si>
  <si>
    <t>Cu(diss)</t>
  </si>
  <si>
    <t>Copper, dissolved</t>
  </si>
  <si>
    <t>Cu(tot)</t>
  </si>
  <si>
    <t>Copper, total (3050)</t>
  </si>
  <si>
    <t>Cyanide</t>
  </si>
  <si>
    <t>Cyanide, WAD</t>
  </si>
  <si>
    <t>SM4500-CN</t>
  </si>
  <si>
    <t>Flow-est</t>
  </si>
  <si>
    <t>Estimated instantaneous flow</t>
  </si>
  <si>
    <t>cfs</t>
  </si>
  <si>
    <t>Estimated</t>
  </si>
  <si>
    <t>visual estimation</t>
  </si>
  <si>
    <t>Hardness</t>
  </si>
  <si>
    <t>Calculated</t>
  </si>
  <si>
    <t>SM2340B - Calculation</t>
  </si>
  <si>
    <t>Cr(hex)</t>
  </si>
  <si>
    <t>Hexavalent Chromium</t>
  </si>
  <si>
    <t>3500 CR-D</t>
  </si>
  <si>
    <t>Hydroxid</t>
  </si>
  <si>
    <t>Hydroxide as CaCO3</t>
  </si>
  <si>
    <t>Flow</t>
  </si>
  <si>
    <t>Instantaneous Streamflow</t>
  </si>
  <si>
    <t>Fe(diss)</t>
  </si>
  <si>
    <t>Pb(diss)</t>
  </si>
  <si>
    <t>Lead, dissolved</t>
  </si>
  <si>
    <t>Pb(tot)</t>
  </si>
  <si>
    <t>Lead, total (3050)</t>
  </si>
  <si>
    <t>Mg(diss)</t>
  </si>
  <si>
    <t>Magnesium, dissolved</t>
  </si>
  <si>
    <t>Mn(diss)</t>
  </si>
  <si>
    <t>Manganese, dissolved</t>
  </si>
  <si>
    <t>Hg(diss)</t>
  </si>
  <si>
    <t>M245.1 CVAA</t>
  </si>
  <si>
    <t>Hg(tot)</t>
  </si>
  <si>
    <t>Mercury, total</t>
  </si>
  <si>
    <t>M7471 CVAA</t>
  </si>
  <si>
    <t>Ni(diss)</t>
  </si>
  <si>
    <t>Nickel, dissolved</t>
  </si>
  <si>
    <t>NO3(N)</t>
  </si>
  <si>
    <t>Nitrate as N, dissolved</t>
  </si>
  <si>
    <t>Calc: NO3NO2 minus NO2</t>
  </si>
  <si>
    <t>NO3 Fld</t>
  </si>
  <si>
    <t>Nitrate, field measurement</t>
  </si>
  <si>
    <t>Hach 8039</t>
  </si>
  <si>
    <t>NO3NO2</t>
  </si>
  <si>
    <t>M353.2 - Automated Cadmium Reduction</t>
  </si>
  <si>
    <t>NO2(N)</t>
  </si>
  <si>
    <t>Nitrite as N, dissolved</t>
  </si>
  <si>
    <t>N(NH3)</t>
  </si>
  <si>
    <t>M350.1 - Automated Phenate</t>
  </si>
  <si>
    <t>N total</t>
  </si>
  <si>
    <t>Persulfate digestion</t>
  </si>
  <si>
    <t>DO</t>
  </si>
  <si>
    <t>Oxygen, dissolved</t>
  </si>
  <si>
    <t>pH</t>
  </si>
  <si>
    <t>standard units</t>
  </si>
  <si>
    <t>P4(diss)</t>
  </si>
  <si>
    <t>Phosphorus, ortho dissolved</t>
  </si>
  <si>
    <t>M365.1 - Automated A</t>
  </si>
  <si>
    <t>P4(tot)</t>
  </si>
  <si>
    <t>M365.1 - Automated Ascorbic Acid</t>
  </si>
  <si>
    <t>P(total)</t>
  </si>
  <si>
    <t>Phosphorus, total</t>
  </si>
  <si>
    <t>M365.1 - Auto Ascorbic Acid (digest)</t>
  </si>
  <si>
    <t>Phyto</t>
  </si>
  <si>
    <t>Phytoplankton</t>
  </si>
  <si>
    <t>organisms/ml</t>
  </si>
  <si>
    <t>TSS</t>
  </si>
  <si>
    <t>Residue, Non-Filterable (TSS)</t>
  </si>
  <si>
    <t>Non-filterable</t>
  </si>
  <si>
    <t>M160.2-Gravimetric</t>
  </si>
  <si>
    <t>Depth</t>
  </si>
  <si>
    <t>Sampling depth</t>
  </si>
  <si>
    <t>m</t>
  </si>
  <si>
    <t>Sand</t>
  </si>
  <si>
    <t>Secchi</t>
  </si>
  <si>
    <t>Secchi depth</t>
  </si>
  <si>
    <t>Se(diss)</t>
  </si>
  <si>
    <t>Selenium, dissolved</t>
  </si>
  <si>
    <t>SM3500-Se C, AA-Hydride</t>
  </si>
  <si>
    <t>Se(tot)</t>
  </si>
  <si>
    <t>Selenium, total (3050)</t>
  </si>
  <si>
    <t>M7742 Modified, AA-H</t>
  </si>
  <si>
    <t>Silt</t>
  </si>
  <si>
    <t>Ag(diss)</t>
  </si>
  <si>
    <t>Silver, dissolved</t>
  </si>
  <si>
    <t>PercSol</t>
  </si>
  <si>
    <t>Solids, Percent</t>
  </si>
  <si>
    <t>CLPSOW390, PART F, D</t>
  </si>
  <si>
    <t>Temp</t>
  </si>
  <si>
    <t>Temperature</t>
  </si>
  <si>
    <t>C</t>
  </si>
  <si>
    <t>TxtClass</t>
  </si>
  <si>
    <t>Texture Classification</t>
  </si>
  <si>
    <t>UNKNOWN</t>
  </si>
  <si>
    <t>Time</t>
  </si>
  <si>
    <t>hours/minutes</t>
  </si>
  <si>
    <t>TotAlk</t>
  </si>
  <si>
    <t>Total Alkalinity</t>
  </si>
  <si>
    <t>Cr(tot)</t>
  </si>
  <si>
    <t>Total Chromium</t>
  </si>
  <si>
    <t>T Depth</t>
  </si>
  <si>
    <t>Total Depth</t>
  </si>
  <si>
    <t>P Field</t>
  </si>
  <si>
    <t>Total Phosphorous, field measurement</t>
  </si>
  <si>
    <t>Hach 8048</t>
  </si>
  <si>
    <t>Cr(tri)</t>
  </si>
  <si>
    <t>Trivalent Chromium</t>
  </si>
  <si>
    <t>Zn(diss)</t>
  </si>
  <si>
    <t>Zinc, dissolved</t>
  </si>
  <si>
    <t>Zooplank</t>
  </si>
  <si>
    <t>Zooplankton</t>
  </si>
  <si>
    <t>Dissolved Chromium (mg/l)</t>
  </si>
  <si>
    <t>Sediment - Percent Clay</t>
  </si>
  <si>
    <t>Specific Conductance (uS/cm)</t>
  </si>
  <si>
    <t>Dissolved Copper (mg/l)</t>
  </si>
  <si>
    <t>Sediment - Total Copper (mg/kg)</t>
  </si>
  <si>
    <t>Cyanide, WAD (mg/l)</t>
  </si>
  <si>
    <t>E. Coli (cts/100 mls)</t>
  </si>
  <si>
    <t>Hardness as CaCO3 (mg/l)</t>
  </si>
  <si>
    <t>Reservoir Average</t>
  </si>
  <si>
    <t>Plum Creek Average</t>
  </si>
  <si>
    <t>South Platte Inflow Average</t>
  </si>
  <si>
    <t>South Platte Outflow Average</t>
  </si>
  <si>
    <t>Stream Flow (cfs)</t>
  </si>
  <si>
    <t>South Platte River - Waterton</t>
  </si>
  <si>
    <t>South Platte River Inflow</t>
  </si>
  <si>
    <t>Plum Creek Inflow</t>
  </si>
  <si>
    <t>Total Inflow</t>
  </si>
  <si>
    <t>Reservoir Outflow</t>
  </si>
  <si>
    <t>Reservoir Retention</t>
  </si>
  <si>
    <t>ac-ft/mo</t>
  </si>
  <si>
    <t>Annual</t>
  </si>
  <si>
    <t>ac-ft/month</t>
  </si>
  <si>
    <t>SP</t>
  </si>
  <si>
    <t>PC</t>
  </si>
  <si>
    <t>Annual Average</t>
  </si>
  <si>
    <t>Outflow</t>
  </si>
  <si>
    <t>Nitrate</t>
  </si>
  <si>
    <t>Total Phosphorus</t>
  </si>
  <si>
    <t>Reservior Data</t>
  </si>
  <si>
    <t>Chlorophyll</t>
  </si>
  <si>
    <t>Chlorophyll-a</t>
  </si>
  <si>
    <t>Secchi Depth</t>
  </si>
  <si>
    <t>ug/L</t>
  </si>
  <si>
    <t>Year</t>
  </si>
  <si>
    <t>Carlson</t>
  </si>
  <si>
    <t>xsd</t>
  </si>
  <si>
    <t>xca</t>
  </si>
  <si>
    <t>xtp</t>
  </si>
  <si>
    <t>meso</t>
  </si>
  <si>
    <t>Walker</t>
  </si>
  <si>
    <t>lca</t>
  </si>
  <si>
    <t>ltp</t>
  </si>
  <si>
    <t>lsd</t>
  </si>
  <si>
    <t>eu</t>
  </si>
  <si>
    <t>Sum</t>
  </si>
  <si>
    <t>TP</t>
  </si>
  <si>
    <t>log chloro</t>
  </si>
  <si>
    <t>log TP</t>
  </si>
  <si>
    <t>(Total phos loading/mean outflow)*386</t>
  </si>
  <si>
    <t>P=</t>
  </si>
  <si>
    <t>lake volume/mean outflow</t>
  </si>
  <si>
    <t>T=</t>
  </si>
  <si>
    <t>5.5m</t>
  </si>
  <si>
    <t>Z=</t>
  </si>
  <si>
    <t>XTP</t>
  </si>
  <si>
    <t>XCA</t>
  </si>
  <si>
    <t>XSD</t>
  </si>
  <si>
    <t>meso-eu</t>
  </si>
  <si>
    <t>h</t>
  </si>
  <si>
    <t>Carlson's Index - Seasonal Averages</t>
  </si>
  <si>
    <t>Iw</t>
  </si>
  <si>
    <t>Isd</t>
  </si>
  <si>
    <t>Itp</t>
  </si>
  <si>
    <t>Ica</t>
  </si>
  <si>
    <t>Carlson's Index - Annual Averages</t>
  </si>
  <si>
    <t>Walker's Index - Seasonal Averages</t>
  </si>
  <si>
    <t>eutro</t>
  </si>
  <si>
    <t>hyper</t>
  </si>
  <si>
    <t>hypereutrophic</t>
  </si>
  <si>
    <t>65+</t>
  </si>
  <si>
    <t>Chl</t>
  </si>
  <si>
    <t>eutrophic</t>
  </si>
  <si>
    <t>50-65</t>
  </si>
  <si>
    <t>mesotrophic-eutrophic</t>
  </si>
  <si>
    <t>45-50</t>
  </si>
  <si>
    <t>mesotrophic</t>
  </si>
  <si>
    <t>30-45</t>
  </si>
  <si>
    <t>Seasonal Means</t>
  </si>
  <si>
    <t>oligotrophic-mesotrophic</t>
  </si>
  <si>
    <t>25-30</t>
  </si>
  <si>
    <t>oligotrophic</t>
  </si>
  <si>
    <t>0-25</t>
  </si>
  <si>
    <t>Annual Means</t>
  </si>
  <si>
    <t>Walker's Index - Annual Averages</t>
  </si>
  <si>
    <t>Hypereutrophic</t>
  </si>
  <si>
    <t>Eutrophic</t>
  </si>
  <si>
    <t>Mesotrophic-Eutrophic</t>
  </si>
  <si>
    <t>Mesotrophic</t>
  </si>
  <si>
    <t>Oligotrophic-Mesotrophic</t>
  </si>
  <si>
    <t>Oligotrophic</t>
  </si>
  <si>
    <t>Plum Creek</t>
  </si>
  <si>
    <t>% of Flow</t>
  </si>
  <si>
    <t>DATE</t>
  </si>
  <si>
    <t>South Platte</t>
  </si>
  <si>
    <t>Reservoir</t>
  </si>
  <si>
    <t>Retention</t>
  </si>
  <si>
    <t>TMAL graph</t>
  </si>
  <si>
    <t>Volume (acre-ft/year)</t>
  </si>
  <si>
    <t>Total phosphorus (pounds)</t>
  </si>
  <si>
    <t>Upper Bound</t>
  </si>
  <si>
    <t>Lower Bound</t>
  </si>
  <si>
    <t>Assume 18,000 annual pounds implict margin of safety</t>
  </si>
  <si>
    <t>32%higher</t>
  </si>
  <si>
    <t>13% upward bias</t>
  </si>
  <si>
    <t>South Platte River</t>
  </si>
  <si>
    <t>TABLE 6</t>
  </si>
  <si>
    <t>CHATFIELD RESERVOIR</t>
  </si>
  <si>
    <t>Total-</t>
  </si>
  <si>
    <t>Phosphorus</t>
  </si>
  <si>
    <t>Concentration</t>
  </si>
  <si>
    <t>4)</t>
  </si>
  <si>
    <t>Mean</t>
  </si>
  <si>
    <t>Std. Dev.</t>
  </si>
  <si>
    <t>Maximum</t>
  </si>
  <si>
    <t>Minimum</t>
  </si>
  <si>
    <t>N</t>
  </si>
  <si>
    <t>TP Loading</t>
  </si>
  <si>
    <t>Annual TMAL</t>
  </si>
  <si>
    <t>TMAL Target Line</t>
  </si>
  <si>
    <t>GROWING SEASON (July-September)</t>
  </si>
  <si>
    <t>Growing 7-9</t>
  </si>
  <si>
    <t>Total Nitrate Loading</t>
  </si>
  <si>
    <t>South Platte Outflow</t>
  </si>
  <si>
    <t>Solids (TSS)</t>
  </si>
  <si>
    <t>Chatfield Reservoir</t>
  </si>
  <si>
    <t>Total Nitrogen</t>
  </si>
  <si>
    <t xml:space="preserve">Year </t>
  </si>
  <si>
    <t>Visual Depth (ft)</t>
  </si>
  <si>
    <t>Growing Season Average Secchi Depth (Feet)</t>
  </si>
  <si>
    <t>Pounds/Mo</t>
  </si>
  <si>
    <t>avg</t>
  </si>
  <si>
    <t>tss</t>
  </si>
  <si>
    <t>Mg/Kg</t>
  </si>
  <si>
    <t>Mg/Kg)</t>
  </si>
  <si>
    <t>Practical Quantitation Limit</t>
  </si>
  <si>
    <t>Total Volume Ac-ft/Year</t>
  </si>
  <si>
    <t>TSI</t>
  </si>
  <si>
    <t>Trophic Indicator</t>
  </si>
  <si>
    <t xml:space="preserve"> Reservoir</t>
  </si>
  <si>
    <t>Peak Chlorophyll-a [ug/l]</t>
  </si>
  <si>
    <t>Average Annual Total Phosphorus [ug/l]</t>
  </si>
  <si>
    <t>Seasonal Annual Total Phosphorus [ug/l]</t>
  </si>
  <si>
    <t>Peak Annual Total Phosphorus [ug/l]</t>
  </si>
  <si>
    <t>Average Annual Ortho Phosphorus ug/l]</t>
  </si>
  <si>
    <t>Seasonal Average Ortho Phosphorus [ug/l]</t>
  </si>
  <si>
    <t>Peak Annual Ortho Phosphorus [ug/l]</t>
  </si>
  <si>
    <t>Clarity</t>
  </si>
  <si>
    <t>Total Suspended Sediments</t>
  </si>
  <si>
    <t>Annual Average Total Suspended Sediments [mg/l]</t>
  </si>
  <si>
    <t>Seasonal Average Total Suspended Sediments [mg/l]</t>
  </si>
  <si>
    <t>Peak Total Suspended Sediments [mg/l]</t>
  </si>
  <si>
    <t xml:space="preserve">Phytoplankton Species </t>
  </si>
  <si>
    <t>Peak Phytoplankton Density</t>
  </si>
  <si>
    <t>Avg</t>
  </si>
  <si>
    <t>Seasonal Avg</t>
  </si>
  <si>
    <t>Seasonal</t>
  </si>
  <si>
    <t>Average Annual Total Nitrogen [ug/l]</t>
  </si>
  <si>
    <t>Seasonal Average Total Nitrogen [ug/l]</t>
  </si>
  <si>
    <t>Peak Annual Total Nitrogen [ug/l]</t>
  </si>
  <si>
    <t>Average Growing Season Chlorophyll-a [ug/l]</t>
  </si>
  <si>
    <t>Average Annual Sechhi Depth [meters/feet]</t>
  </si>
  <si>
    <t>Seasonal Average Secchi Depth [meters/feet]</t>
  </si>
  <si>
    <t>Trophic State Index</t>
  </si>
  <si>
    <t>Walker Index - Annual</t>
  </si>
  <si>
    <t>Walker Index - Seasonal (July-September)</t>
  </si>
  <si>
    <t>Carlson Index - Annual</t>
  </si>
  <si>
    <t>Carlson Index - Seasonal (July-September)</t>
  </si>
  <si>
    <t>50 - Mesotrophic-Eutrophic</t>
  </si>
  <si>
    <t>35 - Mesotrophic</t>
  </si>
  <si>
    <t>TSI Index</t>
  </si>
  <si>
    <r>
      <t>(ug/L)</t>
    </r>
    <r>
      <rPr>
        <b/>
        <vertAlign val="superscript"/>
        <sz val="12"/>
        <rFont val="Arial"/>
        <family val="2"/>
      </rPr>
      <t>1)2)</t>
    </r>
  </si>
  <si>
    <r>
      <t>(ug/L)</t>
    </r>
    <r>
      <rPr>
        <b/>
        <vertAlign val="superscript"/>
        <sz val="12"/>
        <rFont val="Arial"/>
        <family val="2"/>
      </rPr>
      <t>1)3)</t>
    </r>
  </si>
  <si>
    <t>Res Avg</t>
  </si>
  <si>
    <t>Avg ug/l</t>
  </si>
  <si>
    <t xml:space="preserve">Minimum Detection Limit </t>
  </si>
  <si>
    <t>Total Arsenic</t>
  </si>
  <si>
    <t>Total Cadmium</t>
  </si>
  <si>
    <t>Total Copper</t>
  </si>
  <si>
    <t>Total Lead</t>
  </si>
  <si>
    <t>Total Mercury</t>
  </si>
  <si>
    <t>Total Selenium</t>
  </si>
  <si>
    <t>Chatfield Reservoir Sediment Analysis Metals &amp; Total Phosphorus</t>
  </si>
  <si>
    <t>SPR</t>
  </si>
  <si>
    <t>ug/l</t>
  </si>
  <si>
    <t>Outfall</t>
  </si>
  <si>
    <t>m/l</t>
  </si>
  <si>
    <t>res</t>
  </si>
  <si>
    <t>PC Measured</t>
  </si>
  <si>
    <t>Total Phosphorus Load</t>
  </si>
  <si>
    <t>Nitrogen Load</t>
  </si>
  <si>
    <t>Total Suspended Sediment</t>
  </si>
  <si>
    <t>Pounds/Yr</t>
  </si>
  <si>
    <t>Million Pounds/Yr</t>
  </si>
  <si>
    <t>Total Annual Loading Trends Into Chatfield Reservoir</t>
  </si>
  <si>
    <t>South Platte Inflow</t>
  </si>
  <si>
    <t>Total Nitrogen (mg/l</t>
  </si>
  <si>
    <t>Phosphorus, total (mg/l)</t>
  </si>
  <si>
    <t>2004 Season</t>
  </si>
  <si>
    <t>2002 Season</t>
  </si>
  <si>
    <t>2003 Season</t>
  </si>
  <si>
    <t>July</t>
  </si>
  <si>
    <t>August</t>
  </si>
  <si>
    <t>September</t>
  </si>
  <si>
    <t>SPO</t>
  </si>
  <si>
    <t>R</t>
  </si>
  <si>
    <t>Phosphorus, ortho total (ug/l)</t>
  </si>
  <si>
    <t>Nitrate/Nitrite as N, dissolve (ug/l)</t>
  </si>
  <si>
    <t>Parameter</t>
  </si>
  <si>
    <t>Massey Draw Data</t>
  </si>
  <si>
    <t>Storm-event</t>
  </si>
  <si>
    <t>Site</t>
  </si>
  <si>
    <t>Below Wadsworth</t>
  </si>
  <si>
    <t>@ C-470</t>
  </si>
  <si>
    <t>Nitrate (mg/l)</t>
  </si>
  <si>
    <t>Total Phosphorus (ug/l)</t>
  </si>
  <si>
    <t>Ortho Phosphorus (ug/l)</t>
  </si>
  <si>
    <t>TSS (mg/l)</t>
  </si>
  <si>
    <t>2005 Total Phosphorus loading</t>
  </si>
  <si>
    <t>y</t>
  </si>
  <si>
    <t>Massey Draw in Chatfield S.P.</t>
  </si>
  <si>
    <t>Massey Draw below Wadsworth</t>
  </si>
  <si>
    <t>Massey Draw below C-470</t>
  </si>
  <si>
    <t>Chatfield In-Reservoir Near Dam (sediment)</t>
  </si>
  <si>
    <t>2005 Flow Estimates Chatfield Watershed</t>
  </si>
  <si>
    <t>2005 Chatfield Reservoir</t>
  </si>
  <si>
    <t>2005 Nitrate Loadings</t>
  </si>
  <si>
    <t>Massey Draw beginning runoff</t>
  </si>
  <si>
    <t>Massey Draw middle runoff</t>
  </si>
  <si>
    <t>Trail Creek</t>
  </si>
  <si>
    <t>Trout Creek</t>
  </si>
  <si>
    <t>West Creek</t>
  </si>
  <si>
    <t>West Creek mouth</t>
  </si>
  <si>
    <t>GS</t>
  </si>
  <si>
    <t>Chatfield Reservoir 2005 - Selected Trophic Indicators</t>
  </si>
  <si>
    <t>ice</t>
  </si>
  <si>
    <t>dry</t>
  </si>
  <si>
    <t>Compliance</t>
  </si>
  <si>
    <t>Standards</t>
  </si>
  <si>
    <t>Arsenic (Dissolved)</t>
  </si>
  <si>
    <t>Reservoir Hardness 117 mg/l</t>
  </si>
  <si>
    <t>Seg 6a River</t>
  </si>
  <si>
    <t>Seg 6b Reservoir</t>
  </si>
  <si>
    <t>Maximum Metal Data and Standards for Segments 6a and 6b</t>
  </si>
  <si>
    <t>Average</t>
  </si>
  <si>
    <t>Min</t>
  </si>
  <si>
    <t>Max</t>
  </si>
  <si>
    <t>% Change</t>
  </si>
  <si>
    <t>Post-Construction</t>
  </si>
  <si>
    <t>Nitrate Nitrogen (ug/l)</t>
  </si>
  <si>
    <t>Nitrate-Nitrogen (ug/l)</t>
  </si>
  <si>
    <t>2005 Growing Season</t>
  </si>
  <si>
    <t>2005 Season</t>
  </si>
  <si>
    <t>ICE - no data</t>
  </si>
  <si>
    <t>SP River</t>
  </si>
  <si>
    <t>ICE - NO DATA</t>
  </si>
  <si>
    <t>Res</t>
  </si>
  <si>
    <t>ICE- NO DATA</t>
  </si>
  <si>
    <t>Massey Draw in Chatfield SP</t>
  </si>
  <si>
    <t>Ammonia Nitrogen (ug/l)</t>
  </si>
  <si>
    <t>Bottom Type</t>
  </si>
  <si>
    <t>% Sand</t>
  </si>
  <si>
    <t>South Platte Hardness 145 mg/l</t>
  </si>
  <si>
    <t>2.1/6.9</t>
  </si>
  <si>
    <t>2.4/79</t>
  </si>
  <si>
    <t>36 - Mesotrophic</t>
  </si>
  <si>
    <t>49 - Mesotrophic-Eutrophic</t>
  </si>
  <si>
    <t>Nitrate-Nitrogen (mg/l)</t>
  </si>
  <si>
    <t>Pre-Construction</t>
  </si>
  <si>
    <t>Delta %</t>
  </si>
  <si>
    <t>Contruction Complete</t>
  </si>
  <si>
    <t>Planting Complete</t>
  </si>
  <si>
    <t>Mercury Data</t>
  </si>
  <si>
    <t>TSS (Mg/l)</t>
  </si>
  <si>
    <t>Tons TSS/hour</t>
  </si>
  <si>
    <t>Tons TSS/day</t>
  </si>
  <si>
    <t>1 cfs (average)</t>
  </si>
  <si>
    <t>10 cfs (common)</t>
  </si>
  <si>
    <t>100 cfs (2-4 per year)</t>
  </si>
  <si>
    <t>3,500 cfs (100-year)</t>
  </si>
  <si>
    <t>MGD</t>
  </si>
  <si>
    <t>TP (Mg/l)</t>
  </si>
  <si>
    <t>Pounds TP/hour</t>
  </si>
  <si>
    <t>Pounds TP/day</t>
  </si>
  <si>
    <t>Delta Change</t>
  </si>
  <si>
    <t>1 cfs (daily average)</t>
  </si>
  <si>
    <t>Total Phosphorus (Mg/l)</t>
  </si>
  <si>
    <t>Nitrate-Nitrogen (Mg/l)</t>
  </si>
  <si>
    <t>Pounds N/hour</t>
  </si>
  <si>
    <t>Pounds N/day</t>
  </si>
  <si>
    <t>Total Phosphorus ug/l</t>
  </si>
  <si>
    <t>Dissolved Mercury ug/l</t>
  </si>
  <si>
    <t>Dissolved Oxygen mg/l</t>
  </si>
  <si>
    <t>Dissolved Iron (ug/l)</t>
  </si>
  <si>
    <t>Dissolved Iron ug/l</t>
  </si>
  <si>
    <t>Dissolved Copper ug/l</t>
  </si>
  <si>
    <t>Dissolved Zinc ug/l</t>
  </si>
  <si>
    <t>Dissolved Arsenic ug/l</t>
  </si>
  <si>
    <t>Douglas County Special Monitoring Program</t>
  </si>
  <si>
    <t>Nitrate Nitrogen ug/l</t>
  </si>
  <si>
    <t>Temp C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</si>
</sst>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.0"/>
    <numFmt numFmtId="167" formatCode="#,##0.0"/>
    <numFmt numFmtId="168" formatCode="mmm\-yyyy"/>
    <numFmt numFmtId="169" formatCode="0.0000"/>
    <numFmt numFmtId="170" formatCode="0.00000"/>
    <numFmt numFmtId="171" formatCode="[$-409]dddd\,\ mmmm\ dd\,\ yyyy"/>
    <numFmt numFmtId="172" formatCode="mm/dd/yy;@"/>
    <numFmt numFmtId="173" formatCode="m/d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\-mmm;@"/>
    <numFmt numFmtId="179" formatCode="m/d;@"/>
    <numFmt numFmtId="180" formatCode="0.000000"/>
    <numFmt numFmtId="181" formatCode="General_)"/>
    <numFmt numFmtId="182" formatCode="dd\-mmm\-yy_)"/>
    <numFmt numFmtId="183" formatCode="mm/dd/yy"/>
    <numFmt numFmtId="184" formatCode="0_)"/>
    <numFmt numFmtId="185" formatCode="mm/dd/yy_)"/>
    <numFmt numFmtId="186" formatCode="0.000_)"/>
    <numFmt numFmtId="187" formatCode="0.0_)"/>
    <numFmt numFmtId="188" formatCode="0.00_)"/>
    <numFmt numFmtId="189" formatCode="00000"/>
    <numFmt numFmtId="190" formatCode="[$-409]mmmm\-yy;@"/>
    <numFmt numFmtId="191" formatCode="yyyy"/>
    <numFmt numFmtId="192" formatCode="[$-409]mmm\-yy;@"/>
    <numFmt numFmtId="193" formatCode="[$-409]d\-mmm\-yy;@"/>
  </numFmts>
  <fonts count="8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sz val="9.75"/>
      <name val="Arial"/>
      <family val="0"/>
    </font>
    <font>
      <sz val="10.25"/>
      <name val="Arial"/>
      <family val="0"/>
    </font>
    <font>
      <sz val="10.75"/>
      <name val="Arial"/>
      <family val="0"/>
    </font>
    <font>
      <sz val="8.25"/>
      <name val="Arial"/>
      <family val="0"/>
    </font>
    <font>
      <sz val="9.5"/>
      <name val="Arial"/>
      <family val="0"/>
    </font>
    <font>
      <sz val="9.25"/>
      <name val="Arial"/>
      <family val="0"/>
    </font>
    <font>
      <sz val="10"/>
      <color indexed="8"/>
      <name val="Arial"/>
      <family val="2"/>
    </font>
    <font>
      <b/>
      <sz val="10.75"/>
      <name val="Arial"/>
      <family val="0"/>
    </font>
    <font>
      <b/>
      <sz val="9.25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5.75"/>
      <name val="Arial"/>
      <family val="0"/>
    </font>
    <font>
      <sz val="9"/>
      <name val="Arial"/>
      <family val="2"/>
    </font>
    <font>
      <sz val="8.75"/>
      <name val="Arial"/>
      <family val="0"/>
    </font>
    <font>
      <b/>
      <sz val="9"/>
      <color indexed="8"/>
      <name val="Arial"/>
      <family val="2"/>
    </font>
    <font>
      <sz val="11.25"/>
      <name val="Arial"/>
      <family val="0"/>
    </font>
    <font>
      <sz val="12"/>
      <name val="Arial"/>
      <family val="0"/>
    </font>
    <font>
      <b/>
      <sz val="9.75"/>
      <name val="Arial"/>
      <family val="0"/>
    </font>
    <font>
      <b/>
      <sz val="8.25"/>
      <name val="Arial"/>
      <family val="0"/>
    </font>
    <font>
      <sz val="8"/>
      <name val="Times New Roman"/>
      <family val="1"/>
    </font>
    <font>
      <sz val="8.5"/>
      <name val="Arial"/>
      <family val="2"/>
    </font>
    <font>
      <sz val="10.5"/>
      <name val="Arial"/>
      <family val="2"/>
    </font>
    <font>
      <sz val="5"/>
      <name val="Arial"/>
      <family val="0"/>
    </font>
    <font>
      <sz val="10"/>
      <color indexed="10"/>
      <name val="Arial"/>
      <family val="2"/>
    </font>
    <font>
      <b/>
      <sz val="10"/>
      <name val="Helvetica"/>
      <family val="2"/>
    </font>
    <font>
      <b/>
      <sz val="8"/>
      <name val="Helvetica"/>
      <family val="2"/>
    </font>
    <font>
      <sz val="10"/>
      <name val="Helvetica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1"/>
      <name val="Arial"/>
      <family val="2"/>
    </font>
    <font>
      <sz val="14.5"/>
      <name val="Arial"/>
      <family val="0"/>
    </font>
    <font>
      <sz val="16.25"/>
      <name val="Arial"/>
      <family val="0"/>
    </font>
    <font>
      <b/>
      <sz val="11.25"/>
      <name val="Arial"/>
      <family val="2"/>
    </font>
    <font>
      <sz val="17.75"/>
      <name val="Arial"/>
      <family val="0"/>
    </font>
    <font>
      <sz val="8"/>
      <name val="Tms Rmn"/>
      <family val="1"/>
    </font>
    <font>
      <sz val="11"/>
      <color indexed="8"/>
      <name val="Comic Sans MS"/>
      <family val="4"/>
    </font>
    <font>
      <sz val="9"/>
      <name val="Tms Rmn"/>
      <family val="0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name val="Tms Rmn"/>
      <family val="0"/>
    </font>
    <font>
      <sz val="10"/>
      <name val="Times New Roman"/>
      <family val="1"/>
    </font>
    <font>
      <b/>
      <sz val="8"/>
      <name val="Tms Rmn"/>
      <family val="0"/>
    </font>
    <font>
      <sz val="8"/>
      <name val="Helvetica"/>
      <family val="2"/>
    </font>
    <font>
      <i/>
      <sz val="9"/>
      <name val="Tms Rmn"/>
      <family val="0"/>
    </font>
    <font>
      <sz val="14.75"/>
      <name val="Arial"/>
      <family val="0"/>
    </font>
    <font>
      <sz val="17.5"/>
      <name val="Arial"/>
      <family val="0"/>
    </font>
    <font>
      <sz val="17"/>
      <name val="Arial"/>
      <family val="0"/>
    </font>
    <font>
      <sz val="16.5"/>
      <name val="Arial"/>
      <family val="0"/>
    </font>
    <font>
      <sz val="10"/>
      <name val="Helv"/>
      <family val="0"/>
    </font>
    <font>
      <sz val="8"/>
      <name val="Helv"/>
      <family val="0"/>
    </font>
    <font>
      <b/>
      <sz val="11.5"/>
      <name val="Arial"/>
      <family val="2"/>
    </font>
    <font>
      <b/>
      <sz val="8.75"/>
      <name val="Arial"/>
      <family val="0"/>
    </font>
    <font>
      <sz val="12"/>
      <name val="Tms Rmn"/>
      <family val="0"/>
    </font>
    <font>
      <vertAlign val="superscript"/>
      <sz val="12"/>
      <name val="Tms Rmn"/>
      <family val="1"/>
    </font>
    <font>
      <b/>
      <sz val="11"/>
      <name val="Arial"/>
      <family val="2"/>
    </font>
    <font>
      <sz val="21.75"/>
      <name val="Arial"/>
      <family val="0"/>
    </font>
    <font>
      <b/>
      <sz val="9.5"/>
      <name val="Arial"/>
      <family val="2"/>
    </font>
    <font>
      <sz val="17.25"/>
      <name val="Arial"/>
      <family val="0"/>
    </font>
    <font>
      <sz val="19.75"/>
      <name val="Arial"/>
      <family val="0"/>
    </font>
    <font>
      <sz val="19.5"/>
      <name val="Arial"/>
      <family val="0"/>
    </font>
    <font>
      <sz val="9"/>
      <name val="Helvetica"/>
      <family val="2"/>
    </font>
    <font>
      <b/>
      <sz val="8"/>
      <name val="Helvetica-Black"/>
      <family val="0"/>
    </font>
    <font>
      <sz val="8"/>
      <name val="Arial Black"/>
      <family val="2"/>
    </font>
    <font>
      <b/>
      <vertAlign val="superscript"/>
      <sz val="12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vertAlign val="superscript"/>
      <sz val="8"/>
      <name val="Arial"/>
      <family val="2"/>
    </font>
    <font>
      <b/>
      <sz val="8.5"/>
      <name val="Arial"/>
      <family val="0"/>
    </font>
    <font>
      <u val="single"/>
      <sz val="10"/>
      <color indexed="8"/>
      <name val="Arial"/>
      <family val="2"/>
    </font>
    <font>
      <b/>
      <sz val="11.5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7">
    <xf numFmtId="0" fontId="0" fillId="0" borderId="0" xfId="0" applyAlignment="1">
      <alignment/>
    </xf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164" fontId="1" fillId="3" borderId="0" xfId="0" applyNumberFormat="1" applyFont="1" applyFill="1" applyAlignment="1">
      <alignment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6" fillId="2" borderId="0" xfId="0" applyFont="1" applyFill="1" applyAlignment="1">
      <alignment horizontal="center"/>
    </xf>
    <xf numFmtId="0" fontId="21" fillId="0" borderId="0" xfId="0" applyFont="1" applyAlignment="1">
      <alignment/>
    </xf>
    <xf numFmtId="0" fontId="17" fillId="2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14" fontId="16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14" fontId="16" fillId="2" borderId="0" xfId="0" applyNumberFormat="1" applyFont="1" applyFill="1" applyAlignment="1">
      <alignment horizontal="center"/>
    </xf>
    <xf numFmtId="0" fontId="19" fillId="2" borderId="1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  <xf numFmtId="0" fontId="18" fillId="4" borderId="3" xfId="0" applyFont="1" applyFill="1" applyBorder="1" applyAlignment="1">
      <alignment vertical="top" wrapText="1"/>
    </xf>
    <xf numFmtId="0" fontId="18" fillId="4" borderId="4" xfId="0" applyFont="1" applyFill="1" applyBorder="1" applyAlignment="1">
      <alignment vertical="top" wrapText="1"/>
    </xf>
    <xf numFmtId="0" fontId="18" fillId="4" borderId="4" xfId="0" applyFont="1" applyFill="1" applyBorder="1" applyAlignment="1">
      <alignment horizontal="left" vertical="top" wrapText="1"/>
    </xf>
    <xf numFmtId="0" fontId="28" fillId="0" borderId="0" xfId="0" applyFont="1" applyAlignment="1">
      <alignment/>
    </xf>
    <xf numFmtId="178" fontId="16" fillId="2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14" fontId="16" fillId="3" borderId="0" xfId="0" applyNumberFormat="1" applyFont="1" applyFill="1" applyAlignment="1">
      <alignment horizontal="center"/>
    </xf>
    <xf numFmtId="14" fontId="16" fillId="3" borderId="0" xfId="0" applyNumberFormat="1" applyFont="1" applyFill="1" applyAlignment="1">
      <alignment horizontal="center" vertical="top" wrapText="1"/>
    </xf>
    <xf numFmtId="14" fontId="16" fillId="3" borderId="0" xfId="0" applyNumberFormat="1" applyFont="1" applyFill="1" applyAlignment="1">
      <alignment horizontal="center" vertical="top"/>
    </xf>
    <xf numFmtId="165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/>
    </xf>
    <xf numFmtId="167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14" fontId="16" fillId="2" borderId="0" xfId="0" applyNumberFormat="1" applyFont="1" applyFill="1" applyAlignment="1">
      <alignment/>
    </xf>
    <xf numFmtId="0" fontId="16" fillId="5" borderId="0" xfId="0" applyFont="1" applyFill="1" applyAlignment="1">
      <alignment/>
    </xf>
    <xf numFmtId="1" fontId="16" fillId="5" borderId="0" xfId="0" applyNumberFormat="1" applyFont="1" applyFill="1" applyAlignment="1">
      <alignment/>
    </xf>
    <xf numFmtId="3" fontId="16" fillId="5" borderId="0" xfId="0" applyNumberFormat="1" applyFont="1" applyFill="1" applyAlignment="1">
      <alignment/>
    </xf>
    <xf numFmtId="164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3" borderId="0" xfId="0" applyFont="1" applyFill="1" applyAlignment="1">
      <alignment/>
    </xf>
    <xf numFmtId="179" fontId="16" fillId="2" borderId="0" xfId="0" applyNumberFormat="1" applyFont="1" applyFill="1" applyAlignment="1">
      <alignment horizontal="center"/>
    </xf>
    <xf numFmtId="178" fontId="16" fillId="2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16" fontId="16" fillId="2" borderId="0" xfId="0" applyNumberFormat="1" applyFont="1" applyFill="1" applyAlignment="1">
      <alignment horizontal="center"/>
    </xf>
    <xf numFmtId="0" fontId="21" fillId="6" borderId="0" xfId="0" applyFont="1" applyFill="1" applyAlignment="1">
      <alignment/>
    </xf>
    <xf numFmtId="0" fontId="6" fillId="6" borderId="0" xfId="0" applyFont="1" applyFill="1" applyAlignment="1">
      <alignment/>
    </xf>
    <xf numFmtId="0" fontId="0" fillId="0" borderId="5" xfId="0" applyFont="1" applyBorder="1" applyAlignment="1">
      <alignment horizontal="center"/>
    </xf>
    <xf numFmtId="3" fontId="0" fillId="4" borderId="5" xfId="0" applyNumberFormat="1" applyFont="1" applyFill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1" fillId="0" borderId="5" xfId="0" applyFont="1" applyBorder="1" applyAlignment="1">
      <alignment horizontal="right"/>
    </xf>
    <xf numFmtId="3" fontId="1" fillId="0" borderId="5" xfId="0" applyNumberFormat="1" applyFont="1" applyBorder="1" applyAlignment="1">
      <alignment horizontal="center"/>
    </xf>
    <xf numFmtId="3" fontId="33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10" fontId="0" fillId="0" borderId="5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NumberFormat="1" applyFont="1" applyFill="1" applyBorder="1" applyAlignment="1">
      <alignment horizontal="center"/>
    </xf>
    <xf numFmtId="165" fontId="43" fillId="0" borderId="0" xfId="0" applyNumberFormat="1" applyFont="1" applyFill="1" applyBorder="1" applyAlignment="1">
      <alignment horizontal="center"/>
    </xf>
    <xf numFmtId="184" fontId="4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44" fillId="0" borderId="0" xfId="0" applyFont="1" applyFill="1" applyBorder="1" applyAlignment="1">
      <alignment horizontal="center"/>
    </xf>
    <xf numFmtId="164" fontId="45" fillId="0" borderId="0" xfId="0" applyNumberFormat="1" applyFont="1" applyFill="1" applyBorder="1" applyAlignment="1">
      <alignment horizontal="center"/>
    </xf>
    <xf numFmtId="164" fontId="45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/>
    </xf>
    <xf numFmtId="0" fontId="47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2" fontId="45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165" fontId="43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164" fontId="0" fillId="0" borderId="0" xfId="0" applyNumberFormat="1" applyFont="1" applyBorder="1" applyAlignment="1">
      <alignment/>
    </xf>
    <xf numFmtId="2" fontId="49" fillId="0" borderId="0" xfId="0" applyNumberFormat="1" applyFont="1" applyFill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6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2" fontId="50" fillId="0" borderId="0" xfId="0" applyNumberFormat="1" applyFont="1" applyFill="1" applyAlignment="1">
      <alignment horizontal="center"/>
    </xf>
    <xf numFmtId="2" fontId="45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165" fontId="51" fillId="0" borderId="0" xfId="0" applyNumberFormat="1" applyFont="1" applyFill="1" applyBorder="1" applyAlignment="1">
      <alignment horizontal="center"/>
    </xf>
    <xf numFmtId="165" fontId="43" fillId="0" borderId="0" xfId="0" applyNumberFormat="1" applyFont="1" applyFill="1" applyBorder="1" applyAlignment="1">
      <alignment horizontal="center"/>
    </xf>
    <xf numFmtId="15" fontId="45" fillId="0" borderId="0" xfId="0" applyNumberFormat="1" applyFont="1" applyFill="1" applyAlignment="1">
      <alignment horizontal="center"/>
    </xf>
    <xf numFmtId="20" fontId="45" fillId="0" borderId="0" xfId="0" applyNumberFormat="1" applyFont="1" applyFill="1" applyAlignment="1">
      <alignment horizontal="center"/>
    </xf>
    <xf numFmtId="0" fontId="45" fillId="0" borderId="0" xfId="0" applyNumberFormat="1" applyFont="1" applyFill="1" applyAlignment="1">
      <alignment horizontal="center"/>
    </xf>
    <xf numFmtId="0" fontId="44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2" fontId="53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2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2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165" fontId="4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65" fontId="45" fillId="0" borderId="0" xfId="0" applyNumberFormat="1" applyFont="1" applyFill="1" applyBorder="1" applyAlignment="1">
      <alignment horizontal="center"/>
    </xf>
    <xf numFmtId="165" fontId="45" fillId="0" borderId="0" xfId="0" applyNumberFormat="1" applyFont="1" applyFill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6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0" fontId="45" fillId="0" borderId="0" xfId="0" applyFont="1" applyFill="1" applyBorder="1" applyAlignment="1">
      <alignment/>
    </xf>
    <xf numFmtId="164" fontId="43" fillId="0" borderId="0" xfId="0" applyNumberFormat="1" applyFont="1" applyFill="1" applyBorder="1" applyAlignment="1">
      <alignment horizontal="center"/>
    </xf>
    <xf numFmtId="0" fontId="43" fillId="0" borderId="0" xfId="0" applyNumberFormat="1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43" fillId="0" borderId="0" xfId="0" applyNumberFormat="1" applyFont="1" applyFill="1" applyAlignment="1">
      <alignment horizontal="center"/>
    </xf>
    <xf numFmtId="0" fontId="43" fillId="0" borderId="0" xfId="0" applyNumberFormat="1" applyFont="1" applyFill="1" applyAlignment="1">
      <alignment/>
    </xf>
    <xf numFmtId="165" fontId="43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15" fontId="43" fillId="0" borderId="0" xfId="0" applyNumberFormat="1" applyFont="1" applyFill="1" applyAlignment="1">
      <alignment horizontal="center"/>
    </xf>
    <xf numFmtId="20" fontId="43" fillId="0" borderId="0" xfId="0" applyNumberFormat="1" applyFont="1" applyFill="1" applyAlignment="1">
      <alignment horizontal="center"/>
    </xf>
    <xf numFmtId="165" fontId="43" fillId="0" borderId="0" xfId="0" applyNumberFormat="1" applyFont="1" applyFill="1" applyAlignment="1">
      <alignment horizontal="center"/>
    </xf>
    <xf numFmtId="164" fontId="43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/>
    </xf>
    <xf numFmtId="22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64" fontId="51" fillId="0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0" fontId="1" fillId="3" borderId="5" xfId="0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1" fillId="3" borderId="5" xfId="0" applyFont="1" applyFill="1" applyBorder="1" applyAlignment="1">
      <alignment horizontal="right"/>
    </xf>
    <xf numFmtId="3" fontId="1" fillId="4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58" fillId="0" borderId="0" xfId="0" applyFont="1" applyAlignment="1" applyProtection="1">
      <alignment/>
      <protection/>
    </xf>
    <xf numFmtId="0" fontId="58" fillId="0" borderId="0" xfId="0" applyFont="1" applyAlignment="1">
      <alignment/>
    </xf>
    <xf numFmtId="186" fontId="58" fillId="0" borderId="0" xfId="0" applyNumberFormat="1" applyFont="1" applyAlignment="1" applyProtection="1">
      <alignment/>
      <protection/>
    </xf>
    <xf numFmtId="2" fontId="58" fillId="0" borderId="0" xfId="0" applyNumberFormat="1" applyFont="1" applyAlignment="1" applyProtection="1">
      <alignment/>
      <protection/>
    </xf>
    <xf numFmtId="1" fontId="58" fillId="0" borderId="0" xfId="0" applyNumberFormat="1" applyFont="1" applyAlignment="1" applyProtection="1">
      <alignment/>
      <protection/>
    </xf>
    <xf numFmtId="184" fontId="58" fillId="0" borderId="0" xfId="0" applyNumberFormat="1" applyFont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58" fillId="0" borderId="0" xfId="0" applyFont="1" applyAlignment="1" applyProtection="1">
      <alignment horizontal="right"/>
      <protection/>
    </xf>
    <xf numFmtId="0" fontId="13" fillId="0" borderId="0" xfId="0" applyFont="1" applyBorder="1" applyAlignment="1">
      <alignment/>
    </xf>
    <xf numFmtId="16" fontId="0" fillId="0" borderId="0" xfId="0" applyNumberFormat="1" applyFont="1" applyAlignment="1">
      <alignment horizontal="right"/>
    </xf>
    <xf numFmtId="165" fontId="0" fillId="0" borderId="7" xfId="0" applyNumberFormat="1" applyBorder="1" applyAlignment="1">
      <alignment horizontal="center"/>
    </xf>
    <xf numFmtId="0" fontId="44" fillId="0" borderId="0" xfId="0" applyFont="1" applyBorder="1" applyAlignment="1">
      <alignment/>
    </xf>
    <xf numFmtId="0" fontId="0" fillId="0" borderId="0" xfId="0" applyAlignment="1">
      <alignment horizontal="center"/>
    </xf>
    <xf numFmtId="185" fontId="0" fillId="0" borderId="0" xfId="0" applyNumberFormat="1" applyAlignment="1" applyProtection="1">
      <alignment horizontal="center"/>
      <protection/>
    </xf>
    <xf numFmtId="185" fontId="0" fillId="0" borderId="0" xfId="0" applyNumberFormat="1" applyAlignment="1" applyProtection="1">
      <alignment/>
      <protection/>
    </xf>
    <xf numFmtId="185" fontId="52" fillId="0" borderId="0" xfId="0" applyNumberFormat="1" applyFont="1" applyAlignment="1" applyProtection="1">
      <alignment/>
      <protection/>
    </xf>
    <xf numFmtId="0" fontId="51" fillId="0" borderId="0" xfId="0" applyFont="1" applyAlignment="1">
      <alignment horizontal="centerContinuous"/>
    </xf>
    <xf numFmtId="0" fontId="43" fillId="0" borderId="0" xfId="0" applyFont="1" applyAlignment="1">
      <alignment horizontal="centerContinuous"/>
    </xf>
    <xf numFmtId="0" fontId="52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1" fontId="62" fillId="0" borderId="0" xfId="0" applyNumberFormat="1" applyFont="1" applyAlignment="1" applyProtection="1">
      <alignment horizontal="center"/>
      <protection/>
    </xf>
    <xf numFmtId="184" fontId="62" fillId="0" borderId="0" xfId="0" applyNumberFormat="1" applyFont="1" applyAlignment="1" applyProtection="1">
      <alignment horizontal="center"/>
      <protection/>
    </xf>
    <xf numFmtId="1" fontId="63" fillId="0" borderId="0" xfId="0" applyNumberFormat="1" applyFont="1" applyAlignment="1">
      <alignment horizontal="center"/>
    </xf>
    <xf numFmtId="0" fontId="63" fillId="0" borderId="0" xfId="0" applyFont="1" applyAlignment="1">
      <alignment horizontal="center"/>
    </xf>
    <xf numFmtId="187" fontId="62" fillId="0" borderId="0" xfId="0" applyNumberFormat="1" applyFont="1" applyAlignment="1" applyProtection="1">
      <alignment horizontal="center"/>
      <protection/>
    </xf>
    <xf numFmtId="165" fontId="62" fillId="0" borderId="0" xfId="0" applyNumberFormat="1" applyFont="1" applyAlignment="1">
      <alignment horizontal="center"/>
    </xf>
    <xf numFmtId="187" fontId="62" fillId="0" borderId="0" xfId="0" applyNumberFormat="1" applyFont="1" applyAlignment="1">
      <alignment horizontal="center"/>
    </xf>
    <xf numFmtId="1" fontId="62" fillId="0" borderId="0" xfId="0" applyNumberFormat="1" applyFont="1" applyAlignment="1">
      <alignment horizontal="center"/>
    </xf>
    <xf numFmtId="187" fontId="62" fillId="0" borderId="0" xfId="0" applyNumberFormat="1" applyFont="1" applyAlignment="1">
      <alignment horizontal="center"/>
    </xf>
    <xf numFmtId="1" fontId="62" fillId="0" borderId="0" xfId="0" applyNumberFormat="1" applyFont="1" applyAlignment="1">
      <alignment horizontal="center"/>
    </xf>
    <xf numFmtId="1" fontId="62" fillId="0" borderId="0" xfId="0" applyNumberFormat="1" applyFont="1" applyBorder="1" applyAlignment="1">
      <alignment horizontal="center"/>
    </xf>
    <xf numFmtId="165" fontId="62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0" fillId="7" borderId="5" xfId="0" applyFont="1" applyFill="1" applyBorder="1" applyAlignment="1">
      <alignment horizontal="left"/>
    </xf>
    <xf numFmtId="0" fontId="0" fillId="7" borderId="5" xfId="0" applyFont="1" applyFill="1" applyBorder="1" applyAlignment="1">
      <alignment/>
    </xf>
    <xf numFmtId="0" fontId="0" fillId="7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/>
    </xf>
    <xf numFmtId="3" fontId="1" fillId="7" borderId="5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5" xfId="0" applyNumberFormat="1" applyFont="1" applyBorder="1" applyAlignment="1">
      <alignment/>
    </xf>
    <xf numFmtId="3" fontId="0" fillId="7" borderId="5" xfId="0" applyNumberFormat="1" applyFont="1" applyFill="1" applyBorder="1" applyAlignment="1">
      <alignment horizontal="right"/>
    </xf>
    <xf numFmtId="164" fontId="1" fillId="3" borderId="5" xfId="0" applyNumberFormat="1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3" fontId="0" fillId="0" borderId="5" xfId="0" applyNumberFormat="1" applyFont="1" applyBorder="1" applyAlignment="1">
      <alignment horizontal="right"/>
    </xf>
    <xf numFmtId="3" fontId="0" fillId="3" borderId="5" xfId="0" applyNumberFormat="1" applyFont="1" applyFill="1" applyBorder="1" applyAlignment="1">
      <alignment horizontal="center"/>
    </xf>
    <xf numFmtId="3" fontId="21" fillId="3" borderId="5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7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35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36" fillId="0" borderId="0" xfId="0" applyFont="1" applyAlignment="1">
      <alignment horizontal="center"/>
    </xf>
    <xf numFmtId="0" fontId="36" fillId="3" borderId="5" xfId="0" applyFont="1" applyFill="1" applyBorder="1" applyAlignment="1">
      <alignment/>
    </xf>
    <xf numFmtId="0" fontId="36" fillId="3" borderId="5" xfId="0" applyFont="1" applyFill="1" applyBorder="1" applyAlignment="1">
      <alignment horizontal="center"/>
    </xf>
    <xf numFmtId="0" fontId="0" fillId="0" borderId="5" xfId="0" applyBorder="1" applyAlignment="1">
      <alignment wrapText="1"/>
    </xf>
    <xf numFmtId="165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6" fillId="3" borderId="0" xfId="0" applyFont="1" applyFill="1" applyAlignment="1">
      <alignment wrapText="1"/>
    </xf>
    <xf numFmtId="1" fontId="58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62" fillId="6" borderId="0" xfId="0" applyFont="1" applyFill="1" applyAlignment="1">
      <alignment horizontal="center"/>
    </xf>
    <xf numFmtId="1" fontId="62" fillId="6" borderId="0" xfId="0" applyNumberFormat="1" applyFont="1" applyFill="1" applyAlignment="1" applyProtection="1">
      <alignment horizontal="center"/>
      <protection/>
    </xf>
    <xf numFmtId="187" fontId="62" fillId="6" borderId="0" xfId="0" applyNumberFormat="1" applyFont="1" applyFill="1" applyAlignment="1" applyProtection="1">
      <alignment horizontal="center"/>
      <protection/>
    </xf>
    <xf numFmtId="184" fontId="62" fillId="6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0" fontId="72" fillId="0" borderId="0" xfId="0" applyFont="1" applyBorder="1" applyAlignment="1">
      <alignment horizontal="centerContinuous"/>
    </xf>
    <xf numFmtId="0" fontId="36" fillId="0" borderId="0" xfId="0" applyFont="1" applyAlignment="1">
      <alignment horizontal="centerContinuous"/>
    </xf>
    <xf numFmtId="190" fontId="46" fillId="0" borderId="0" xfId="0" applyNumberFormat="1" applyFont="1" applyFill="1" applyBorder="1" applyAlignment="1">
      <alignment horizontal="center" wrapText="1"/>
    </xf>
    <xf numFmtId="2" fontId="46" fillId="0" borderId="0" xfId="0" applyNumberFormat="1" applyFont="1" applyFill="1" applyBorder="1" applyAlignment="1">
      <alignment horizontal="center" wrapText="1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vertical="top" wrapText="1"/>
    </xf>
    <xf numFmtId="0" fontId="23" fillId="3" borderId="8" xfId="0" applyFont="1" applyFill="1" applyBorder="1" applyAlignment="1">
      <alignment horizontal="center" vertical="top"/>
    </xf>
    <xf numFmtId="185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1" fontId="46" fillId="0" borderId="0" xfId="0" applyNumberFormat="1" applyFont="1" applyFill="1" applyBorder="1" applyAlignment="1">
      <alignment/>
    </xf>
    <xf numFmtId="1" fontId="46" fillId="0" borderId="0" xfId="0" applyNumberFormat="1" applyFont="1" applyFill="1" applyBorder="1" applyAlignment="1">
      <alignment wrapText="1"/>
    </xf>
    <xf numFmtId="0" fontId="46" fillId="8" borderId="5" xfId="0" applyFont="1" applyFill="1" applyBorder="1" applyAlignment="1">
      <alignment horizontal="center"/>
    </xf>
    <xf numFmtId="0" fontId="21" fillId="8" borderId="5" xfId="0" applyFont="1" applyFill="1" applyBorder="1" applyAlignment="1">
      <alignment horizontal="center"/>
    </xf>
    <xf numFmtId="0" fontId="23" fillId="0" borderId="5" xfId="0" applyFont="1" applyBorder="1" applyAlignment="1">
      <alignment horizontal="center" wrapText="1"/>
    </xf>
    <xf numFmtId="0" fontId="23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23" fillId="0" borderId="5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15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wrapText="1"/>
    </xf>
    <xf numFmtId="0" fontId="78" fillId="0" borderId="0" xfId="0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1" fontId="0" fillId="0" borderId="0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horizontal="center"/>
    </xf>
    <xf numFmtId="2" fontId="78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5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wrapText="1"/>
    </xf>
    <xf numFmtId="164" fontId="16" fillId="0" borderId="0" xfId="0" applyNumberFormat="1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6" fillId="0" borderId="5" xfId="0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16" fillId="9" borderId="5" xfId="0" applyFont="1" applyFill="1" applyBorder="1" applyAlignment="1">
      <alignment/>
    </xf>
    <xf numFmtId="0" fontId="16" fillId="9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16" fontId="6" fillId="0" borderId="5" xfId="0" applyNumberFormat="1" applyFont="1" applyBorder="1" applyAlignment="1">
      <alignment/>
    </xf>
    <xf numFmtId="1" fontId="16" fillId="3" borderId="5" xfId="0" applyNumberFormat="1" applyFont="1" applyFill="1" applyBorder="1" applyAlignment="1">
      <alignment horizontal="center"/>
    </xf>
    <xf numFmtId="14" fontId="16" fillId="0" borderId="0" xfId="0" applyNumberFormat="1" applyFont="1" applyFill="1" applyAlignment="1">
      <alignment horizontal="center"/>
    </xf>
    <xf numFmtId="0" fontId="16" fillId="2" borderId="5" xfId="0" applyFont="1" applyFill="1" applyBorder="1" applyAlignment="1">
      <alignment horizontal="center"/>
    </xf>
    <xf numFmtId="193" fontId="16" fillId="2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vertical="top" wrapText="1"/>
    </xf>
    <xf numFmtId="0" fontId="16" fillId="3" borderId="5" xfId="0" applyFont="1" applyFill="1" applyBorder="1" applyAlignment="1">
      <alignment horizontal="center" vertical="top" wrapText="1"/>
    </xf>
    <xf numFmtId="0" fontId="16" fillId="3" borderId="0" xfId="0" applyFont="1" applyFill="1" applyAlignment="1">
      <alignment/>
    </xf>
    <xf numFmtId="178" fontId="1" fillId="2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10" fontId="1" fillId="3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0" borderId="5" xfId="0" applyFont="1" applyBorder="1" applyAlignment="1">
      <alignment/>
    </xf>
    <xf numFmtId="0" fontId="18" fillId="4" borderId="5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3" fontId="18" fillId="5" borderId="5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172" fontId="16" fillId="2" borderId="0" xfId="0" applyNumberFormat="1" applyFont="1" applyFill="1" applyAlignment="1">
      <alignment horizontal="center"/>
    </xf>
    <xf numFmtId="1" fontId="6" fillId="5" borderId="5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16" fontId="6" fillId="5" borderId="5" xfId="0" applyNumberFormat="1" applyFont="1" applyFill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14" fontId="16" fillId="0" borderId="0" xfId="0" applyNumberFormat="1" applyFont="1" applyFill="1" applyAlignment="1">
      <alignment horizontal="center"/>
    </xf>
    <xf numFmtId="14" fontId="1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79" fontId="1" fillId="2" borderId="0" xfId="0" applyNumberFormat="1" applyFont="1" applyFill="1" applyAlignment="1">
      <alignment horizontal="center"/>
    </xf>
    <xf numFmtId="173" fontId="1" fillId="2" borderId="0" xfId="0" applyNumberFormat="1" applyFont="1" applyFill="1" applyAlignment="1">
      <alignment horizontal="center"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14" fontId="1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/>
    </xf>
    <xf numFmtId="17" fontId="6" fillId="2" borderId="0" xfId="0" applyNumberFormat="1" applyFont="1" applyFill="1" applyAlignment="1">
      <alignment/>
    </xf>
    <xf numFmtId="173" fontId="16" fillId="2" borderId="0" xfId="0" applyNumberFormat="1" applyFont="1" applyFill="1" applyAlignment="1">
      <alignment horizontal="center"/>
    </xf>
    <xf numFmtId="173" fontId="16" fillId="2" borderId="0" xfId="0" applyNumberFormat="1" applyFont="1" applyFill="1" applyAlignment="1">
      <alignment/>
    </xf>
    <xf numFmtId="173" fontId="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23" fillId="0" borderId="5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/>
    </xf>
    <xf numFmtId="0" fontId="6" fillId="0" borderId="5" xfId="0" applyFont="1" applyBorder="1" applyAlignment="1">
      <alignment/>
    </xf>
    <xf numFmtId="0" fontId="16" fillId="0" borderId="5" xfId="0" applyFont="1" applyBorder="1" applyAlignment="1">
      <alignment/>
    </xf>
    <xf numFmtId="16" fontId="16" fillId="5" borderId="5" xfId="0" applyNumberFormat="1" applyFont="1" applyFill="1" applyBorder="1" applyAlignment="1">
      <alignment/>
    </xf>
    <xf numFmtId="1" fontId="16" fillId="5" borderId="5" xfId="0" applyNumberFormat="1" applyFont="1" applyFill="1" applyBorder="1" applyAlignment="1">
      <alignment horizontal="center"/>
    </xf>
    <xf numFmtId="2" fontId="13" fillId="5" borderId="0" xfId="0" applyNumberFormat="1" applyFont="1" applyFill="1" applyBorder="1" applyAlignment="1">
      <alignment horizontal="center" wrapText="1"/>
    </xf>
    <xf numFmtId="0" fontId="13" fillId="5" borderId="9" xfId="0" applyFont="1" applyFill="1" applyBorder="1" applyAlignment="1">
      <alignment horizontal="center"/>
    </xf>
    <xf numFmtId="0" fontId="44" fillId="5" borderId="0" xfId="0" applyFont="1" applyFill="1" applyBorder="1" applyAlignment="1">
      <alignment horizontal="center"/>
    </xf>
    <xf numFmtId="0" fontId="47" fillId="10" borderId="0" xfId="0" applyFont="1" applyFill="1" applyBorder="1" applyAlignment="1">
      <alignment horizontal="center" wrapText="1"/>
    </xf>
    <xf numFmtId="2" fontId="1" fillId="5" borderId="0" xfId="0" applyNumberFormat="1" applyFont="1" applyFill="1" applyAlignment="1">
      <alignment horizontal="center"/>
    </xf>
    <xf numFmtId="0" fontId="6" fillId="5" borderId="0" xfId="0" applyFont="1" applyFill="1" applyAlignment="1">
      <alignment horizontal="center"/>
    </xf>
    <xf numFmtId="2" fontId="0" fillId="5" borderId="0" xfId="0" applyNumberFormat="1" applyFont="1" applyFill="1" applyBorder="1" applyAlignment="1">
      <alignment horizontal="center"/>
    </xf>
    <xf numFmtId="0" fontId="6" fillId="5" borderId="0" xfId="0" applyFont="1" applyFill="1" applyAlignment="1">
      <alignment/>
    </xf>
    <xf numFmtId="0" fontId="0" fillId="5" borderId="0" xfId="0" applyFont="1" applyFill="1" applyAlignment="1">
      <alignment/>
    </xf>
    <xf numFmtId="1" fontId="6" fillId="5" borderId="0" xfId="0" applyNumberFormat="1" applyFont="1" applyFill="1" applyAlignment="1">
      <alignment/>
    </xf>
    <xf numFmtId="169" fontId="0" fillId="5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1" fontId="44" fillId="0" borderId="0" xfId="0" applyNumberFormat="1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 horizontal="center" wrapText="1"/>
    </xf>
    <xf numFmtId="1" fontId="48" fillId="0" borderId="0" xfId="0" applyNumberFormat="1" applyFont="1" applyFill="1" applyBorder="1" applyAlignment="1">
      <alignment horizontal="center" wrapText="1"/>
    </xf>
    <xf numFmtId="0" fontId="23" fillId="0" borderId="5" xfId="0" applyFont="1" applyBorder="1" applyAlignment="1">
      <alignment/>
    </xf>
    <xf numFmtId="0" fontId="6" fillId="5" borderId="5" xfId="0" applyFont="1" applyFill="1" applyBorder="1" applyAlignment="1">
      <alignment/>
    </xf>
    <xf numFmtId="1" fontId="6" fillId="5" borderId="5" xfId="0" applyNumberFormat="1" applyFont="1" applyFill="1" applyBorder="1" applyAlignment="1">
      <alignment/>
    </xf>
    <xf numFmtId="1" fontId="6" fillId="0" borderId="5" xfId="0" applyNumberFormat="1" applyFont="1" applyBorder="1" applyAlignment="1">
      <alignment/>
    </xf>
    <xf numFmtId="2" fontId="6" fillId="5" borderId="5" xfId="0" applyNumberFormat="1" applyFont="1" applyFill="1" applyBorder="1" applyAlignment="1">
      <alignment/>
    </xf>
    <xf numFmtId="0" fontId="6" fillId="0" borderId="5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9" fontId="6" fillId="0" borderId="0" xfId="0" applyNumberFormat="1" applyFont="1" applyAlignment="1">
      <alignment/>
    </xf>
    <xf numFmtId="0" fontId="16" fillId="3" borderId="5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5" borderId="5" xfId="0" applyFont="1" applyFill="1" applyBorder="1" applyAlignment="1">
      <alignment/>
    </xf>
    <xf numFmtId="3" fontId="16" fillId="3" borderId="5" xfId="0" applyNumberFormat="1" applyFont="1" applyFill="1" applyBorder="1" applyAlignment="1">
      <alignment horizontal="center"/>
    </xf>
    <xf numFmtId="1" fontId="16" fillId="0" borderId="5" xfId="0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165" fontId="16" fillId="0" borderId="5" xfId="0" applyNumberFormat="1" applyFont="1" applyBorder="1" applyAlignment="1">
      <alignment horizontal="center"/>
    </xf>
    <xf numFmtId="165" fontId="16" fillId="3" borderId="5" xfId="0" applyNumberFormat="1" applyFont="1" applyFill="1" applyBorder="1" applyAlignment="1">
      <alignment horizontal="center"/>
    </xf>
    <xf numFmtId="0" fontId="16" fillId="3" borderId="5" xfId="0" applyFont="1" applyFill="1" applyBorder="1" applyAlignment="1">
      <alignment horizontal="left" vertical="top" wrapText="1"/>
    </xf>
    <xf numFmtId="0" fontId="16" fillId="5" borderId="5" xfId="0" applyFont="1" applyFill="1" applyBorder="1" applyAlignment="1">
      <alignment wrapText="1"/>
    </xf>
    <xf numFmtId="0" fontId="6" fillId="7" borderId="0" xfId="0" applyFont="1" applyFill="1" applyAlignment="1">
      <alignment/>
    </xf>
    <xf numFmtId="193" fontId="6" fillId="7" borderId="0" xfId="0" applyNumberFormat="1" applyFont="1" applyFill="1" applyAlignment="1">
      <alignment horizontal="left"/>
    </xf>
    <xf numFmtId="0" fontId="6" fillId="7" borderId="0" xfId="0" applyFont="1" applyFill="1" applyAlignment="1">
      <alignment horizontal="left"/>
    </xf>
    <xf numFmtId="173" fontId="16" fillId="2" borderId="5" xfId="0" applyNumberFormat="1" applyFont="1" applyFill="1" applyBorder="1" applyAlignment="1">
      <alignment horizontal="center"/>
    </xf>
    <xf numFmtId="173" fontId="16" fillId="3" borderId="5" xfId="0" applyNumberFormat="1" applyFont="1" applyFill="1" applyBorder="1" applyAlignment="1">
      <alignment vertical="top" wrapText="1"/>
    </xf>
    <xf numFmtId="173" fontId="16" fillId="3" borderId="5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1" fontId="6" fillId="0" borderId="14" xfId="0" applyNumberFormat="1" applyFont="1" applyBorder="1" applyAlignment="1">
      <alignment vertical="top" wrapText="1"/>
    </xf>
    <xf numFmtId="165" fontId="6" fillId="0" borderId="14" xfId="0" applyNumberFormat="1" applyFont="1" applyBorder="1" applyAlignment="1">
      <alignment vertical="top" wrapText="1"/>
    </xf>
    <xf numFmtId="2" fontId="6" fillId="0" borderId="14" xfId="0" applyNumberFormat="1" applyFont="1" applyBorder="1" applyAlignment="1">
      <alignment vertical="top" wrapText="1"/>
    </xf>
    <xf numFmtId="3" fontId="6" fillId="0" borderId="14" xfId="0" applyNumberFormat="1" applyFont="1" applyBorder="1" applyAlignment="1">
      <alignment vertical="top" wrapText="1"/>
    </xf>
    <xf numFmtId="4" fontId="6" fillId="0" borderId="0" xfId="0" applyNumberFormat="1" applyFont="1" applyAlignment="1">
      <alignment/>
    </xf>
    <xf numFmtId="0" fontId="6" fillId="3" borderId="15" xfId="0" applyFont="1" applyFill="1" applyBorder="1" applyAlignment="1">
      <alignment vertical="top" wrapText="1"/>
    </xf>
    <xf numFmtId="0" fontId="6" fillId="3" borderId="14" xfId="0" applyFont="1" applyFill="1" applyBorder="1" applyAlignment="1">
      <alignment vertical="top" wrapText="1"/>
    </xf>
    <xf numFmtId="0" fontId="6" fillId="0" borderId="14" xfId="0" applyFont="1" applyBorder="1" applyAlignment="1">
      <alignment horizontal="center" wrapText="1"/>
    </xf>
    <xf numFmtId="10" fontId="6" fillId="0" borderId="14" xfId="0" applyNumberFormat="1" applyFont="1" applyBorder="1" applyAlignment="1">
      <alignment horizontal="center" vertical="top" wrapText="1"/>
    </xf>
    <xf numFmtId="0" fontId="16" fillId="3" borderId="11" xfId="0" applyFont="1" applyFill="1" applyBorder="1" applyAlignment="1">
      <alignment vertical="top" wrapText="1"/>
    </xf>
    <xf numFmtId="0" fontId="16" fillId="3" borderId="12" xfId="0" applyFont="1" applyFill="1" applyBorder="1" applyAlignment="1">
      <alignment vertical="top" wrapText="1"/>
    </xf>
    <xf numFmtId="0" fontId="16" fillId="3" borderId="13" xfId="0" applyFont="1" applyFill="1" applyBorder="1" applyAlignment="1">
      <alignment vertical="top" wrapText="1"/>
    </xf>
    <xf numFmtId="0" fontId="6" fillId="0" borderId="14" xfId="0" applyFont="1" applyBorder="1" applyAlignment="1">
      <alignment wrapText="1"/>
    </xf>
    <xf numFmtId="0" fontId="16" fillId="3" borderId="15" xfId="0" applyFont="1" applyFill="1" applyBorder="1" applyAlignment="1">
      <alignment vertical="top" wrapText="1"/>
    </xf>
    <xf numFmtId="0" fontId="16" fillId="3" borderId="14" xfId="0" applyFont="1" applyFill="1" applyBorder="1" applyAlignment="1">
      <alignment vertical="top" wrapText="1"/>
    </xf>
    <xf numFmtId="9" fontId="6" fillId="0" borderId="14" xfId="0" applyNumberFormat="1" applyFont="1" applyBorder="1" applyAlignment="1">
      <alignment horizontal="center" vertical="top" wrapText="1"/>
    </xf>
    <xf numFmtId="0" fontId="33" fillId="3" borderId="5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 wrapText="1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" fontId="1" fillId="3" borderId="8" xfId="0" applyNumberFormat="1" applyFon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 vertical="center"/>
    </xf>
    <xf numFmtId="1" fontId="1" fillId="3" borderId="18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wrapText="1"/>
    </xf>
    <xf numFmtId="164" fontId="1" fillId="3" borderId="5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horizontal="center"/>
    </xf>
    <xf numFmtId="0" fontId="82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18" fillId="3" borderId="5" xfId="0" applyFont="1" applyFill="1" applyBorder="1" applyAlignment="1">
      <alignment horizontal="center"/>
    </xf>
    <xf numFmtId="0" fontId="16" fillId="7" borderId="19" xfId="0" applyFont="1" applyFill="1" applyBorder="1" applyAlignment="1">
      <alignment horizontal="center" vertical="top" wrapText="1"/>
    </xf>
    <xf numFmtId="0" fontId="16" fillId="7" borderId="17" xfId="0" applyFont="1" applyFill="1" applyBorder="1" applyAlignment="1">
      <alignment horizontal="center" vertical="top" wrapText="1"/>
    </xf>
    <xf numFmtId="0" fontId="16" fillId="6" borderId="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0" fontId="36" fillId="5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36" fillId="0" borderId="19" xfId="0" applyFont="1" applyBorder="1" applyAlignment="1">
      <alignment horizontal="center"/>
    </xf>
    <xf numFmtId="1" fontId="23" fillId="3" borderId="5" xfId="0" applyNumberFormat="1" applyFont="1" applyFill="1" applyBorder="1" applyAlignment="1">
      <alignment horizontal="center" wrapText="1"/>
    </xf>
    <xf numFmtId="1" fontId="23" fillId="3" borderId="5" xfId="0" applyNumberFormat="1" applyFont="1" applyFill="1" applyBorder="1" applyAlignment="1">
      <alignment horizontal="center"/>
    </xf>
    <xf numFmtId="0" fontId="17" fillId="9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3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3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1" fontId="1" fillId="7" borderId="5" xfId="0" applyNumberFormat="1" applyFont="1" applyFill="1" applyBorder="1" applyAlignment="1">
      <alignment horizontal="center" vertical="center"/>
    </xf>
    <xf numFmtId="0" fontId="1" fillId="7" borderId="5" xfId="0" applyFont="1" applyFill="1" applyBorder="1" applyAlignment="1">
      <alignment wrapText="1"/>
    </xf>
    <xf numFmtId="164" fontId="1" fillId="7" borderId="5" xfId="0" applyNumberFormat="1" applyFont="1" applyFill="1" applyBorder="1" applyAlignment="1">
      <alignment wrapText="1"/>
    </xf>
    <xf numFmtId="0" fontId="33" fillId="7" borderId="5" xfId="0" applyFont="1" applyFill="1" applyBorder="1" applyAlignment="1">
      <alignment wrapText="1"/>
    </xf>
    <xf numFmtId="0" fontId="1" fillId="7" borderId="19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6" fillId="3" borderId="20" xfId="0" applyFont="1" applyFill="1" applyBorder="1" applyAlignment="1">
      <alignment vertical="top" wrapText="1"/>
    </xf>
    <xf numFmtId="0" fontId="6" fillId="3" borderId="13" xfId="0" applyFont="1" applyFill="1" applyBorder="1" applyAlignment="1">
      <alignment vertical="top" wrapText="1"/>
    </xf>
    <xf numFmtId="0" fontId="16" fillId="0" borderId="0" xfId="0" applyFont="1" applyAlignment="1">
      <alignment horizontal="center"/>
    </xf>
    <xf numFmtId="173" fontId="16" fillId="3" borderId="5" xfId="0" applyNumberFormat="1" applyFont="1" applyFill="1" applyBorder="1" applyAlignment="1">
      <alignment horizontal="center" vertical="top" wrapText="1"/>
    </xf>
    <xf numFmtId="193" fontId="16" fillId="2" borderId="19" xfId="0" applyNumberFormat="1" applyFont="1" applyFill="1" applyBorder="1" applyAlignment="1">
      <alignment horizontal="center"/>
    </xf>
    <xf numFmtId="193" fontId="16" fillId="2" borderId="16" xfId="0" applyNumberFormat="1" applyFont="1" applyFill="1" applyBorder="1" applyAlignment="1">
      <alignment horizontal="center"/>
    </xf>
    <xf numFmtId="193" fontId="16" fillId="2" borderId="17" xfId="0" applyNumberFormat="1" applyFont="1" applyFill="1" applyBorder="1" applyAlignment="1">
      <alignment horizontal="center"/>
    </xf>
    <xf numFmtId="0" fontId="16" fillId="5" borderId="19" xfId="0" applyFont="1" applyFill="1" applyBorder="1" applyAlignment="1">
      <alignment horizontal="center"/>
    </xf>
    <xf numFmtId="0" fontId="16" fillId="5" borderId="16" xfId="0" applyFont="1" applyFill="1" applyBorder="1" applyAlignment="1">
      <alignment horizontal="center"/>
    </xf>
    <xf numFmtId="0" fontId="16" fillId="5" borderId="17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6" fillId="3" borderId="20" xfId="0" applyFont="1" applyFill="1" applyBorder="1" applyAlignment="1">
      <alignment vertical="top" wrapText="1"/>
    </xf>
    <xf numFmtId="0" fontId="16" fillId="3" borderId="13" xfId="0" applyFont="1" applyFill="1" applyBorder="1" applyAlignment="1">
      <alignment vertical="top" wrapText="1"/>
    </xf>
    <xf numFmtId="0" fontId="16" fillId="3" borderId="19" xfId="0" applyFont="1" applyFill="1" applyBorder="1" applyAlignment="1">
      <alignment horizontal="center"/>
    </xf>
    <xf numFmtId="0" fontId="16" fillId="3" borderId="16" xfId="0" applyFont="1" applyFill="1" applyBorder="1" applyAlignment="1">
      <alignment horizontal="center"/>
    </xf>
    <xf numFmtId="0" fontId="16" fillId="3" borderId="17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172" fontId="16" fillId="2" borderId="9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6" fillId="3" borderId="5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6" fillId="3" borderId="5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externalLink" Target="externalLinks/externalLink1.xml" /><Relationship Id="rId69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Total Phosphorus Load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635"/>
          <c:w val="0.9097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'Loading Trends'!$B$4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'Loading Trends'!$A$6:$A$21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'Loading Trends'!$B$6:$B$21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'Loading Trends'!$C$4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'Loading Trends'!$A$6:$A$21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'Loading Trends'!$C$6:$C$21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10154451"/>
        <c:axId val="24281196"/>
      </c:lineChart>
      <c:catAx>
        <c:axId val="10154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281196"/>
        <c:crosses val="autoZero"/>
        <c:auto val="1"/>
        <c:lblOffset val="100"/>
        <c:noMultiLvlLbl val="0"/>
      </c:catAx>
      <c:valAx>
        <c:axId val="24281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Total Phosphorus (Pounds/yr)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10154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5"/>
          <c:y val="0.161"/>
          <c:w val="0.203"/>
          <c:h val="0.1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2005 Chatfield Reservoir 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Total Phosphorus loading [23,500 Pounds/Year]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9"/>
          <c:y val="0.23375"/>
          <c:w val="0.82525"/>
          <c:h val="0.55925"/>
        </c:manualLayout>
      </c:layout>
      <c:pie3DChart>
        <c:varyColors val="1"/>
        <c:ser>
          <c:idx val="0"/>
          <c:order val="0"/>
          <c:tx>
            <c:strRef>
              <c:f>'2005 Loading'!$A$37</c:f>
              <c:strCache>
                <c:ptCount val="1"/>
                <c:pt idx="0">
                  <c:v>2005 Total Phosphorus loading</c:v>
                </c:pt>
              </c:strCache>
            </c:strRef>
          </c:tx>
          <c:spPr>
            <a:solidFill>
              <a:srgbClr val="CCFFCC"/>
            </a:solidFill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'2005 Loading'!$B$38:$C$38</c:f>
              <c:strCache/>
            </c:strRef>
          </c:cat>
          <c:val>
            <c:numRef>
              <c:f>'2005 Loading'!$B$51:$C$51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Phosphorus - Total Maximum Annual Loads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15"/>
          <c:w val="0.97025"/>
          <c:h val="0.879"/>
        </c:manualLayout>
      </c:layout>
      <c:scatterChart>
        <c:scatterStyle val="smoothMarker"/>
        <c:varyColors val="0"/>
        <c:ser>
          <c:idx val="2"/>
          <c:order val="0"/>
          <c:tx>
            <c:strRef>
              <c:f>TMAL!$A$60</c:f>
              <c:strCache>
                <c:ptCount val="1"/>
                <c:pt idx="0">
                  <c:v>1986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TMAL!$B$60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TMAL!$C$60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TMAL!$A$61</c:f>
              <c:strCache>
                <c:ptCount val="1"/>
                <c:pt idx="0">
                  <c:v>1987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TMAL!$B$61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TMAL!$C$61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TMAL!$A$62</c:f>
              <c:strCache>
                <c:ptCount val="1"/>
                <c:pt idx="0">
                  <c:v>1988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TMAL!$C$62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TMAL!$A$63</c:f>
              <c:strCache>
                <c:ptCount val="1"/>
                <c:pt idx="0">
                  <c:v>1989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TMAL!$C$63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TMAL!$A$64</c:f>
              <c:strCache>
                <c:ptCount val="1"/>
                <c:pt idx="0">
                  <c:v>1990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TMAL!$B$64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TMAL!$C$64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7"/>
          <c:order val="5"/>
          <c:tx>
            <c:strRef>
              <c:f>TMAL!$A$65</c:f>
              <c:strCache>
                <c:ptCount val="1"/>
                <c:pt idx="0">
                  <c:v>1991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TMAL!$B$65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TMAL!$C$65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8"/>
          <c:order val="6"/>
          <c:tx>
            <c:strRef>
              <c:f>TMAL!$A$66</c:f>
              <c:strCache>
                <c:ptCount val="1"/>
                <c:pt idx="0">
                  <c:v>1992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TMAL!$B$66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TMAL!$C$66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9"/>
          <c:order val="7"/>
          <c:tx>
            <c:strRef>
              <c:f>TMAL!$A$67</c:f>
              <c:strCache>
                <c:ptCount val="1"/>
                <c:pt idx="0">
                  <c:v>1993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TMAL!$B$67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TMAL!$C$67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0"/>
          <c:order val="8"/>
          <c:tx>
            <c:strRef>
              <c:f>TMAL!$A$68</c:f>
              <c:strCache>
                <c:ptCount val="1"/>
                <c:pt idx="0">
                  <c:v>1994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TMAL!$B$68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TMAL!$C$68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1"/>
          <c:order val="9"/>
          <c:tx>
            <c:strRef>
              <c:f>TMAL!$A$69</c:f>
              <c:strCache>
                <c:ptCount val="1"/>
                <c:pt idx="0">
                  <c:v>1995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TMAL!$C$69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2"/>
          <c:order val="10"/>
          <c:tx>
            <c:strRef>
              <c:f>TMAL!$A$70</c:f>
              <c:strCache>
                <c:ptCount val="1"/>
                <c:pt idx="0">
                  <c:v>1996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TMAL!$B$70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TMAL!$C$70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3"/>
          <c:order val="11"/>
          <c:tx>
            <c:strRef>
              <c:f>TMAL!$A$71</c:f>
              <c:strCache>
                <c:ptCount val="1"/>
                <c:pt idx="0">
                  <c:v>1997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TMAL!$B$71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TMAL!$C$71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4"/>
          <c:order val="12"/>
          <c:tx>
            <c:strRef>
              <c:f>TMAL!$A$72</c:f>
              <c:strCache>
                <c:ptCount val="1"/>
                <c:pt idx="0">
                  <c:v>1998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TMAL!$B$72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TMAL!$C$72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5"/>
          <c:order val="13"/>
          <c:tx>
            <c:strRef>
              <c:f>TMAL!$A$73</c:f>
              <c:strCache>
                <c:ptCount val="1"/>
                <c:pt idx="0">
                  <c:v>1999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TMAL!$B$73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TMAL!$C$73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6"/>
          <c:order val="14"/>
          <c:tx>
            <c:strRef>
              <c:f>TMAL!$A$74</c:f>
              <c:strCache>
                <c:ptCount val="1"/>
                <c:pt idx="0">
                  <c:v>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Pt>
            <c:idx val="0"/>
            <c:marker>
              <c:symbol val="diamond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TMAL!$B$74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TMAL!$C$74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7"/>
          <c:order val="15"/>
          <c:tx>
            <c:strRef>
              <c:f>TMAL!$A$75</c:f>
              <c:strCache>
                <c:ptCount val="1"/>
                <c:pt idx="0">
                  <c:v>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TMAL!$B$75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TMAL!$C$75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8"/>
          <c:order val="16"/>
          <c:tx>
            <c:strRef>
              <c:f>TMAL!$A$76</c:f>
              <c:strCache>
                <c:ptCount val="1"/>
                <c:pt idx="0">
                  <c:v>2002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TMAL!$B$76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TMAL!$C$76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9"/>
          <c:order val="17"/>
          <c:tx>
            <c:strRef>
              <c:f>TMAL!$A$77</c:f>
              <c:strCache>
                <c:ptCount val="1"/>
                <c:pt idx="0">
                  <c:v>2003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TMAL!$B$77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TMAL!$C$77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0"/>
          <c:order val="18"/>
          <c:tx>
            <c:strRef>
              <c:f>TMAL!$A$78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TMAL!$B$78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TMAL!$C$78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"/>
          <c:order val="19"/>
          <c:tx>
            <c:strRef>
              <c:f>TMAL!$A$79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TMAL!$B$79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TMAL!$C$79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1"/>
          <c:order val="20"/>
          <c:tx>
            <c:strRef>
              <c:f>TMAL!$A$59</c:f>
              <c:strCache>
                <c:ptCount val="1"/>
                <c:pt idx="0">
                  <c:v>Compliance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TMAL!$B$59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TMAL!$C$59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35964489"/>
        <c:axId val="55244946"/>
      </c:scatterChart>
      <c:valAx>
        <c:axId val="35964489"/>
        <c:scaling>
          <c:orientation val="minMax"/>
          <c:max val="4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Reservoir Flow Through (Ac-ft/Yr)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55244946"/>
        <c:crosses val="autoZero"/>
        <c:crossBetween val="midCat"/>
        <c:dispUnits/>
        <c:majorUnit val="50000"/>
        <c:minorUnit val="5000"/>
      </c:valAx>
      <c:valAx>
        <c:axId val="552449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Total Phosphorus [Pounds]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5964489"/>
        <c:crosses val="autoZero"/>
        <c:crossBetween val="midCat"/>
        <c:dispUnits/>
        <c:majorUnit val="10000"/>
      </c:valAx>
      <c:spPr>
        <a:solidFill>
          <a:srgbClr val="FFFFFF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Chatfield Reservoir
 Estimated Total  Inflow Volume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1225"/>
          <c:w val="0.94"/>
          <c:h val="0.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TMAL!$B$57</c:f>
              <c:strCache>
                <c:ptCount val="1"/>
                <c:pt idx="0">
                  <c:v>Total Volume Ac-ft/Year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4"/>
            <c:dispEq val="0"/>
            <c:dispRSqr val="0"/>
          </c:trendline>
          <c:cat>
            <c:numRef>
              <c:f>TMAL!$A$60:$A$79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TMAL!$B$60:$B$79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27442467"/>
        <c:axId val="45655612"/>
      </c:barChart>
      <c:catAx>
        <c:axId val="274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55612"/>
        <c:crosses val="autoZero"/>
        <c:auto val="1"/>
        <c:lblOffset val="100"/>
        <c:noMultiLvlLbl val="0"/>
      </c:catAx>
      <c:valAx>
        <c:axId val="45655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Inflow Volume (Ac-ft/yr)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4424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Sediment Metal Loading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69"/>
          <c:w val="0.90675"/>
          <c:h val="0.831"/>
        </c:manualLayout>
      </c:layout>
      <c:lineChart>
        <c:grouping val="standard"/>
        <c:varyColors val="0"/>
        <c:ser>
          <c:idx val="3"/>
          <c:order val="0"/>
          <c:tx>
            <c:strRef>
              <c:f>'Reservoir Sediments'!$E$4</c:f>
              <c:strCache>
                <c:ptCount val="1"/>
                <c:pt idx="0">
                  <c:v>Total Cadmium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'Reservoir Sediments'!$C$8:$D$14</c:f>
              <c:multiLvlStrCache/>
            </c:multiLvlStrRef>
          </c:cat>
          <c:val>
            <c:numRef>
              <c:f>'Reservoir Sediments'!$E$8:$E$14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'Reservoir Sediments'!$J$4</c:f>
              <c:strCache>
                <c:ptCount val="1"/>
                <c:pt idx="0">
                  <c:v>Total Selenium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'Reservoir Sediments'!$C$8:$D$14</c:f>
              <c:multiLvlStrCache/>
            </c:multiLvlStrRef>
          </c:cat>
          <c:val>
            <c:numRef>
              <c:f>'Reservoir Sediments'!$J$8:$J$14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8247325"/>
        <c:axId val="7117062"/>
      </c:lineChart>
      <c:catAx>
        <c:axId val="824732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7117062"/>
        <c:crosses val="autoZero"/>
        <c:auto val="1"/>
        <c:lblOffset val="100"/>
        <c:noMultiLvlLbl val="0"/>
      </c:catAx>
      <c:valAx>
        <c:axId val="7117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Mg/Kg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47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5"/>
          <c:y val="0.08825"/>
          <c:w val="0.8185"/>
          <c:h val="0.07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Sediment Metal Loading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895"/>
          <c:w val="0.89375"/>
          <c:h val="0.8925"/>
        </c:manualLayout>
      </c:layout>
      <c:lineChart>
        <c:grouping val="standard"/>
        <c:varyColors val="0"/>
        <c:ser>
          <c:idx val="0"/>
          <c:order val="0"/>
          <c:tx>
            <c:strRef>
              <c:f>'Reservoir Sediments'!$F$4</c:f>
              <c:strCache>
                <c:ptCount val="1"/>
                <c:pt idx="0">
                  <c:v>Total Copper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'Reservoir Sediments'!$C$8:$D$14</c:f>
              <c:multiLvlStrCache/>
            </c:multiLvlStrRef>
          </c:cat>
          <c:val>
            <c:numRef>
              <c:f>'Reservoir Sediments'!$F$8:$F$14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'Reservoir Sediments'!$G$4</c:f>
              <c:strCache>
                <c:ptCount val="1"/>
                <c:pt idx="0">
                  <c:v>Total Lead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'Reservoir Sediments'!$C$8:$D$14</c:f>
              <c:multiLvlStrCache/>
            </c:multiLvlStrRef>
          </c:cat>
          <c:val>
            <c:numRef>
              <c:f>'Reservoir Sediments'!$G$8:$G$14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'Reservoir Sediments'!$K$4</c:f>
              <c:strCache>
                <c:ptCount val="1"/>
                <c:pt idx="0">
                  <c:v>Total Arsenic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'Reservoir Sediments'!$C$8:$D$14</c:f>
              <c:multiLvlStrCache/>
            </c:multiLvlStrRef>
          </c:cat>
          <c:val>
            <c:numRef>
              <c:f>'Reservoir Sediments'!$K$8:$K$14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4053559"/>
        <c:axId val="39611120"/>
      </c:lineChart>
      <c:catAx>
        <c:axId val="64053559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39611120"/>
        <c:crosses val="autoZero"/>
        <c:auto val="1"/>
        <c:lblOffset val="100"/>
        <c:noMultiLvlLbl val="0"/>
      </c:catAx>
      <c:valAx>
        <c:axId val="39611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Mg/Kg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535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"/>
          <c:y val="0.2115"/>
          <c:w val="0.36875"/>
          <c:h val="0.12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Sediment Metal Loading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7975"/>
          <c:w val="0.887"/>
          <c:h val="0.80925"/>
        </c:manualLayout>
      </c:layout>
      <c:lineChart>
        <c:grouping val="standard"/>
        <c:varyColors val="0"/>
        <c:ser>
          <c:idx val="0"/>
          <c:order val="0"/>
          <c:tx>
            <c:strRef>
              <c:f>'Reservoir Sediments'!$H$4</c:f>
              <c:strCache>
                <c:ptCount val="1"/>
                <c:pt idx="0">
                  <c:v>Total Mercury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'Reservoir Sediments'!$C$8:$D$14</c:f>
              <c:multiLvlStrCache/>
            </c:multiLvlStrRef>
          </c:cat>
          <c:val>
            <c:numRef>
              <c:f>'Reservoir Sediments'!$H$8:$H$14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'Reservoir Sediments'!$I$4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'Reservoir Sediments'!$C$8:$D$14</c:f>
              <c:multiLvlStrCache/>
            </c:multiLvlStrRef>
          </c:cat>
          <c:val>
            <c:numRef>
              <c:f>'Reservoir Sediments'!$I$8:$I$14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0955761"/>
        <c:axId val="54384122"/>
      </c:lineChart>
      <c:catAx>
        <c:axId val="20955761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84122"/>
        <c:crosses val="autoZero"/>
        <c:auto val="1"/>
        <c:lblOffset val="100"/>
        <c:noMultiLvlLbl val="0"/>
      </c:catAx>
      <c:valAx>
        <c:axId val="54384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Mg/Kg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557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45"/>
          <c:y val="0.10425"/>
          <c:w val="0.78825"/>
          <c:h val="0.06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1982-2005 Chatfield Reservoir 
Growing Season Average Chlorophyll-a </a:t>
            </a:r>
          </a:p>
        </c:rich>
      </c:tx>
      <c:layout>
        <c:manualLayout>
          <c:xMode val="factor"/>
          <c:yMode val="factor"/>
          <c:x val="0.002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7175"/>
          <c:w val="0.93875"/>
          <c:h val="0.78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0"/>
            <c:dispRSqr val="0"/>
          </c:trendline>
          <c:cat>
            <c:numRef>
              <c:f>'Reservoir Trends'!$A$45:$A$67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'Reservoir Trends'!$B$45:$B$67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19695051"/>
        <c:axId val="43037732"/>
      </c:lineChart>
      <c:catAx>
        <c:axId val="19695051"/>
        <c:scaling>
          <c:orientation val="minMax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037732"/>
        <c:crosses val="autoZero"/>
        <c:auto val="1"/>
        <c:lblOffset val="100"/>
        <c:tickLblSkip val="1"/>
        <c:noMultiLvlLbl val="0"/>
      </c:catAx>
      <c:valAx>
        <c:axId val="43037732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Chlorophyll-a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695051"/>
        <c:crossesAt val="1"/>
        <c:crossBetween val="between"/>
        <c:dispUnits/>
        <c:minorUnit val="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Chatfield Reservoir
 Annual Total Phosphorus vs. Chlorophyll-a</a:t>
            </a:r>
          </a:p>
        </c:rich>
      </c:tx>
      <c:layout>
        <c:manualLayout>
          <c:xMode val="factor"/>
          <c:yMode val="factor"/>
          <c:x val="-0.013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2"/>
          <c:w val="0.8865"/>
          <c:h val="0.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'Reservoir Trends'!$B$19</c:f>
              <c:strCache>
                <c:ptCount val="1"/>
                <c:pt idx="0">
                  <c:v>Chlorophyll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'Reservoir Trends'!$A$20:$A$42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'Reservoir Trends'!$B$20:$B$42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51795269"/>
        <c:axId val="63504238"/>
      </c:barChart>
      <c:lineChart>
        <c:grouping val="standard"/>
        <c:varyColors val="0"/>
        <c:ser>
          <c:idx val="0"/>
          <c:order val="1"/>
          <c:tx>
            <c:strRef>
              <c:f>'Reservoir Trends'!$C$19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'Reservoir Trends'!$A$20:$A$42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'Reservoir Trends'!$C$20:$C$42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axId val="34667231"/>
        <c:axId val="43569624"/>
      </c:lineChart>
      <c:catAx>
        <c:axId val="517952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3504238"/>
        <c:crosses val="autoZero"/>
        <c:auto val="0"/>
        <c:lblOffset val="100"/>
        <c:tickLblSkip val="1"/>
        <c:noMultiLvlLbl val="0"/>
      </c:catAx>
      <c:valAx>
        <c:axId val="63504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Chlorophyll-a (ug/L)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795269"/>
        <c:crossesAt val="1"/>
        <c:crossBetween val="between"/>
        <c:dispUnits/>
      </c:valAx>
      <c:catAx>
        <c:axId val="34667231"/>
        <c:scaling>
          <c:orientation val="minMax"/>
        </c:scaling>
        <c:axPos val="b"/>
        <c:delete val="1"/>
        <c:majorTickMark val="in"/>
        <c:minorTickMark val="none"/>
        <c:tickLblPos val="nextTo"/>
        <c:crossAx val="43569624"/>
        <c:crosses val="autoZero"/>
        <c:auto val="0"/>
        <c:lblOffset val="100"/>
        <c:noMultiLvlLbl val="0"/>
      </c:catAx>
      <c:valAx>
        <c:axId val="43569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667231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5875"/>
          <c:y val="0.2025"/>
          <c:w val="0.26225"/>
          <c:h val="0.1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1982-2005 Chatfield Reservoir Chlorophyll &amp; Phosphorus Growing Season Non-Linear Trend</a:t>
            </a:r>
          </a:p>
        </c:rich>
      </c:tx>
      <c:layout>
        <c:manualLayout>
          <c:xMode val="factor"/>
          <c:yMode val="factor"/>
          <c:x val="0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375"/>
          <c:w val="0.9045"/>
          <c:h val="0.80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linear"/>
            <c:for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y = 0.3045x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- 0.0932x + 1.2584
R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= 0.3375</a:t>
                    </a:r>
                  </a:p>
                </c:rich>
              </c:tx>
              <c:numFmt formatCode="0.00"/>
            </c:trendlineLbl>
          </c:trendline>
          <c:xVal>
            <c:numRef>
              <c:f>'Reservoir Trends'!$D$45:$D$67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'Reservoir Trends'!$E$45:$E$67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56582297"/>
        <c:axId val="39478626"/>
      </c:scatterChart>
      <c:valAx>
        <c:axId val="56582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log Chlorophyll-a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9478626"/>
        <c:crosses val="autoZero"/>
        <c:crossBetween val="midCat"/>
        <c:dispUnits/>
      </c:valAx>
      <c:valAx>
        <c:axId val="39478626"/>
        <c:scaling>
          <c:orientation val="minMax"/>
          <c:max val="1.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log Total Phosphorus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6582297"/>
        <c:crosses val="autoZero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2005 Chatfield Reservoir Secchi Depth</a:t>
            </a:r>
          </a:p>
        </c:rich>
      </c:tx>
      <c:layout>
        <c:manualLayout>
          <c:xMode val="factor"/>
          <c:yMode val="factor"/>
          <c:x val="0.071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075"/>
          <c:w val="0.888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'Reservoir Trends'!$D$2</c:f>
              <c:strCache>
                <c:ptCount val="1"/>
                <c:pt idx="0">
                  <c:v>Secchi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3"/>
            <c:dispEq val="0"/>
            <c:dispRSqr val="0"/>
          </c:trendline>
          <c:cat>
            <c:strRef>
              <c:f>'Reservoir Trends'!$E$3:$E$14</c:f>
              <c:strCache/>
            </c:strRef>
          </c:cat>
          <c:val>
            <c:numRef>
              <c:f>'Reservoir Trends'!$D$3:$D$14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19763315"/>
        <c:axId val="43652108"/>
      </c:lineChart>
      <c:catAx>
        <c:axId val="1976331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3652108"/>
        <c:crosses val="autoZero"/>
        <c:auto val="1"/>
        <c:lblOffset val="100"/>
        <c:noMultiLvlLbl val="0"/>
      </c:catAx>
      <c:valAx>
        <c:axId val="4365210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Clarity 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7633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Nitrate Load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145"/>
          <c:w val="0.926"/>
          <c:h val="0.83625"/>
        </c:manualLayout>
      </c:layout>
      <c:lineChart>
        <c:grouping val="standard"/>
        <c:varyColors val="0"/>
        <c:ser>
          <c:idx val="0"/>
          <c:order val="0"/>
          <c:tx>
            <c:strRef>
              <c:f>'Loading Trends'!$D$4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'Loading Trends'!$A$13:$A$21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'Loading Trends'!$D$13:$D$21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'Loading Trends'!$E$4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'Loading Trends'!$A$13:$A$21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'Loading Trends'!$E$13:$E$21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7204173"/>
        <c:axId val="20619830"/>
      </c:lineChart>
      <c:catAx>
        <c:axId val="1720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619830"/>
        <c:crosses val="autoZero"/>
        <c:auto val="1"/>
        <c:lblOffset val="100"/>
        <c:noMultiLvlLbl val="0"/>
      </c:catAx>
      <c:valAx>
        <c:axId val="20619830"/>
        <c:scaling>
          <c:orientation val="minMax"/>
          <c:max val="7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Nitrate (Pounds/yr)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204173"/>
        <c:crossesAt val="1"/>
        <c:crossBetween val="between"/>
        <c:dispUnits/>
        <c:majorUnit val="10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1"/>
          <c:y val="0.22175"/>
          <c:w val="0.222"/>
          <c:h val="0.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1982-2005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Chatfield Reservoir
 Seasonal Total Phosphorus vs. Chlorophyll-a
</a:t>
            </a:r>
          </a:p>
        </c:rich>
      </c:tx>
      <c:layout>
        <c:manualLayout>
          <c:xMode val="factor"/>
          <c:yMode val="factor"/>
          <c:x val="0.026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6975"/>
          <c:w val="0.885"/>
          <c:h val="0.798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'Reservoir Trends'!$A$45:$A$67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'Reservoir Trends'!$B$45:$B$67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57324653"/>
        <c:axId val="46159830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'Reservoir Trends'!$A$45:$A$67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'Reservoir Trends'!$C$45:$C$67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axId val="12785287"/>
        <c:axId val="47958720"/>
      </c:lineChart>
      <c:catAx>
        <c:axId val="573246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6159830"/>
        <c:crosses val="autoZero"/>
        <c:auto val="0"/>
        <c:lblOffset val="100"/>
        <c:tickLblSkip val="1"/>
        <c:noMultiLvlLbl val="0"/>
      </c:catAx>
      <c:valAx>
        <c:axId val="46159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Chlorophyll-a (ug/L)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24653"/>
        <c:crossesAt val="1"/>
        <c:crossBetween val="between"/>
        <c:dispUnits/>
      </c:valAx>
      <c:catAx>
        <c:axId val="12785287"/>
        <c:scaling>
          <c:orientation val="minMax"/>
        </c:scaling>
        <c:axPos val="b"/>
        <c:delete val="1"/>
        <c:majorTickMark val="in"/>
        <c:minorTickMark val="none"/>
        <c:tickLblPos val="nextTo"/>
        <c:crossAx val="47958720"/>
        <c:crosses val="autoZero"/>
        <c:auto val="0"/>
        <c:lblOffset val="100"/>
        <c:noMultiLvlLbl val="0"/>
      </c:catAx>
      <c:valAx>
        <c:axId val="47958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78528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4325"/>
          <c:y val="0.257"/>
          <c:w val="0.262"/>
          <c:h val="0.10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2005 Total Phosphorus Versus Chlorophyll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5"/>
          <c:w val="0.94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'Reservoir Trends'!$B$2</c:f>
              <c:strCache>
                <c:ptCount val="1"/>
                <c:pt idx="0">
                  <c:v>TP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6"/>
            <c:dispEq val="1"/>
            <c:dispRSqr val="1"/>
            <c:trendlineLbl>
              <c:numFmt formatCode="General" sourceLinked="1"/>
            </c:trendlineLbl>
          </c:trendline>
          <c:cat>
            <c:strRef>
              <c:f>'Reservoir Trends'!$A$3:$A$13</c:f>
              <c:strCache/>
            </c:strRef>
          </c:cat>
          <c:val>
            <c:numRef>
              <c:f>'Reservoir Trends'!$B$3:$B$13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'Reservoir Trends'!$C$2</c:f>
              <c:strCache>
                <c:ptCount val="1"/>
                <c:pt idx="0">
                  <c:v>Chlorophyll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'Reservoir Trends'!$A$3:$A$13</c:f>
              <c:strCache/>
            </c:strRef>
          </c:cat>
          <c:val>
            <c:numRef>
              <c:f>'Reservoir Trends'!$C$3:$C$13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8975297"/>
        <c:axId val="59451082"/>
      </c:lineChart>
      <c:catAx>
        <c:axId val="28975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451082"/>
        <c:crosses val="autoZero"/>
        <c:auto val="1"/>
        <c:lblOffset val="100"/>
        <c:noMultiLvlLbl val="0"/>
      </c:catAx>
      <c:valAx>
        <c:axId val="59451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9752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475"/>
          <c:y val="0.1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1988-2005 Walker's Annual Trophic Prediction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385"/>
          <c:w val="0.9365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'2005 Walker Carlson'!$S$26</c:f>
              <c:strCache>
                <c:ptCount val="1"/>
                <c:pt idx="0">
                  <c:v>TSI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0"/>
            <c:dispRSqr val="0"/>
          </c:trendline>
          <c:cat>
            <c:numRef>
              <c:f>'2005 Walker Carlson'!$S$2:$AH$2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'2005 Walker Carlson'!$S$12:$AH$12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1"/>
        </c:ser>
        <c:marker val="1"/>
        <c:axId val="65297691"/>
        <c:axId val="50808308"/>
      </c:lineChart>
      <c:catAx>
        <c:axId val="6529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08308"/>
        <c:crosses val="autoZero"/>
        <c:auto val="1"/>
        <c:lblOffset val="100"/>
        <c:noMultiLvlLbl val="0"/>
      </c:catAx>
      <c:valAx>
        <c:axId val="50808308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297691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1991-2005 Walker's Seasonal Trophic Pediction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"/>
          <c:w val="0.984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'2005 Walker Carlson'!$S$26</c:f>
              <c:strCache>
                <c:ptCount val="1"/>
                <c:pt idx="0">
                  <c:v>TSI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0"/>
            <c:dispRSqr val="0"/>
          </c:trendline>
          <c:cat>
            <c:numRef>
              <c:f>'2005 Walker Carlson'!$T$16:$AH$16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'2005 Walker Carlson'!$T$26:$AH$26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1"/>
        </c:ser>
        <c:marker val="1"/>
        <c:axId val="54621589"/>
        <c:axId val="21832254"/>
      </c:lineChart>
      <c:catAx>
        <c:axId val="5462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1832254"/>
        <c:crosses val="autoZero"/>
        <c:auto val="1"/>
        <c:lblOffset val="100"/>
        <c:noMultiLvlLbl val="0"/>
      </c:catAx>
      <c:valAx>
        <c:axId val="21832254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621589"/>
        <c:crossesAt val="1"/>
        <c:crossBetween val="between"/>
        <c:dispUnits/>
        <c:majorUnit val="20"/>
        <c:minorUnit val="1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1991- 2005 Carlson's Seasonal Trophic Prediction
Chatfield Reservoir</a:t>
            </a:r>
          </a:p>
        </c:rich>
      </c:tx>
      <c:layout>
        <c:manualLayout>
          <c:xMode val="factor"/>
          <c:yMode val="factor"/>
          <c:x val="0.027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305"/>
          <c:w val="0.96775"/>
          <c:h val="0.868"/>
        </c:manualLayout>
      </c:layout>
      <c:lineChart>
        <c:grouping val="standard"/>
        <c:varyColors val="0"/>
        <c:ser>
          <c:idx val="2"/>
          <c:order val="0"/>
          <c:tx>
            <c:strRef>
              <c:f>'2005 Walker Carlson'!$A$35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'2005 Walker Carlson'!$C$28:$Q$28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'2005 Walker Carlson'!$C$36:$Q$36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'2005 Walker Carlson'!$B$38</c:f>
              <c:strCache>
                <c:ptCount val="1"/>
                <c:pt idx="0">
                  <c:v>TSI Index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'2005 Walker Carlson'!$C$28:$Q$28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'2005 Walker Carlson'!$C$38:$Q$38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62272559"/>
        <c:axId val="23582120"/>
      </c:lineChart>
      <c:catAx>
        <c:axId val="622725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3582120"/>
        <c:crosses val="autoZero"/>
        <c:auto val="1"/>
        <c:lblOffset val="100"/>
        <c:noMultiLvlLbl val="0"/>
      </c:catAx>
      <c:valAx>
        <c:axId val="23582120"/>
        <c:scaling>
          <c:orientation val="minMax"/>
          <c:min val="3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227255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75"/>
          <c:y val="0.1635"/>
          <c:w val="0.31425"/>
          <c:h val="0.134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Growing Season Average Secchi Depth (Feet)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'Secchi Trend'!$C$3</c:f>
              <c:strCache>
                <c:ptCount val="1"/>
                <c:pt idx="0">
                  <c:v>Visual Depth (ft)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'Secchi Trend'!$B$4:$B$21</c:f>
              <c:numCache/>
            </c:numRef>
          </c:cat>
          <c:val>
            <c:numRef>
              <c:f>'Secchi Trend'!$C$4:$C$21</c:f>
              <c:numCache/>
            </c:numRef>
          </c:val>
          <c:shape val="box"/>
        </c:ser>
        <c:shape val="box"/>
        <c:axId val="10912489"/>
        <c:axId val="31103538"/>
      </c:bar3DChart>
      <c:catAx>
        <c:axId val="1091248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103538"/>
        <c:crosses val="autoZero"/>
        <c:auto val="1"/>
        <c:lblOffset val="100"/>
        <c:tickLblSkip val="1"/>
        <c:noMultiLvlLbl val="0"/>
      </c:catAx>
      <c:valAx>
        <c:axId val="3110353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Visual Depth Into Water Column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91248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2005 Chatfield Watershed 
Nitrate-Nitrogen Trends</a:t>
            </a:r>
          </a:p>
        </c:rich>
      </c:tx>
      <c:layout>
        <c:manualLayout>
          <c:xMode val="factor"/>
          <c:yMode val="factor"/>
          <c:x val="0.02875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8525"/>
          <c:w val="0.91875"/>
          <c:h val="0.78025"/>
        </c:manualLayout>
      </c:layout>
      <c:lineChart>
        <c:grouping val="standard"/>
        <c:varyColors val="0"/>
        <c:ser>
          <c:idx val="1"/>
          <c:order val="0"/>
          <c:tx>
            <c:strRef>
              <c:f>'Nutrient Trends'!$A$51:$D$51</c:f>
              <c:strCache>
                <c:ptCount val="1"/>
                <c:pt idx="0">
                  <c:v>South Platte Outflow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'Nutrient Trends'!$A$54:$A$65</c:f>
              <c:strCache/>
            </c:strRef>
          </c:cat>
          <c:val>
            <c:numRef>
              <c:f>'Nutrient Trends'!$B$54:$B$65</c:f>
              <c:numCache/>
            </c:numRef>
          </c:val>
          <c:smooth val="1"/>
        </c:ser>
        <c:ser>
          <c:idx val="2"/>
          <c:order val="1"/>
          <c:tx>
            <c:strRef>
              <c:f>'Nutrient Trends'!$F$51:$I$51</c:f>
              <c:strCache>
                <c:ptCount val="1"/>
                <c:pt idx="0">
                  <c:v>Plum Creek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'Nutrient Trends'!$A$54:$A$65</c:f>
              <c:strCache/>
            </c:strRef>
          </c:cat>
          <c:val>
            <c:numRef>
              <c:f>'Nutrient Trends'!$G$54:$G$65</c:f>
              <c:numCache/>
            </c:numRef>
          </c:val>
          <c:smooth val="0"/>
        </c:ser>
        <c:ser>
          <c:idx val="0"/>
          <c:order val="2"/>
          <c:tx>
            <c:strRef>
              <c:f>'Nutrient Trends'!$K$51:$N$51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'Nutrient Trends'!$A$54:$A$65</c:f>
              <c:strCache/>
            </c:strRef>
          </c:cat>
          <c:val>
            <c:numRef>
              <c:f>'Nutrient Trends'!$L$54:$L$65</c:f>
              <c:numCache/>
            </c:numRef>
          </c:val>
          <c:smooth val="0"/>
        </c:ser>
        <c:marker val="1"/>
        <c:axId val="11496387"/>
        <c:axId val="36358620"/>
      </c:lineChart>
      <c:catAx>
        <c:axId val="11496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6358620"/>
        <c:crosses val="autoZero"/>
        <c:auto val="1"/>
        <c:lblOffset val="100"/>
        <c:noMultiLvlLbl val="0"/>
      </c:catAx>
      <c:valAx>
        <c:axId val="363586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NO3 (mg/L)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149638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41125"/>
          <c:y val="0.24575"/>
          <c:w val="0.298"/>
          <c:h val="0.21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2005 Chatfield Reservoir 
Average Total Nitrogen Trend</a:t>
            </a:r>
          </a:p>
        </c:rich>
      </c:tx>
      <c:layout>
        <c:manualLayout>
          <c:xMode val="factor"/>
          <c:yMode val="factor"/>
          <c:x val="0.008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9425"/>
          <c:w val="0.89675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'Nutrient Trends'!$L$71</c:f>
              <c:strCache>
                <c:ptCount val="1"/>
                <c:pt idx="0">
                  <c:v>Total Nitrogen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'Nutrient Trends'!$K$73:$K$84</c:f>
              <c:strCache/>
            </c:strRef>
          </c:cat>
          <c:val>
            <c:numRef>
              <c:f>'Nutrient Trends'!$L$73:$L$84</c:f>
              <c:numCache/>
            </c:numRef>
          </c:val>
        </c:ser>
        <c:axId val="58792125"/>
        <c:axId val="59367078"/>
      </c:barChart>
      <c:catAx>
        <c:axId val="58792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9367078"/>
        <c:crosses val="autoZero"/>
        <c:auto val="1"/>
        <c:lblOffset val="100"/>
        <c:noMultiLvlLbl val="0"/>
      </c:catAx>
      <c:valAx>
        <c:axId val="593670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NO3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9212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2005 Chatfield Watershed 
Total Phosphorus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3975"/>
          <c:w val="0.9105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'Nutrient Trends'!$A$51:$D$51</c:f>
              <c:strCache>
                <c:ptCount val="1"/>
                <c:pt idx="0">
                  <c:v>South Platte Outflow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'Nutrient Trends'!$A$54:$A$65</c:f>
              <c:strCache/>
            </c:strRef>
          </c:cat>
          <c:val>
            <c:numRef>
              <c:f>'Nutrient Trends'!$C$54:$C$65</c:f>
              <c:numCache/>
            </c:numRef>
          </c:val>
          <c:smooth val="1"/>
        </c:ser>
        <c:ser>
          <c:idx val="1"/>
          <c:order val="1"/>
          <c:tx>
            <c:strRef>
              <c:f>'Nutrient Trends'!$F$51:$I$51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'Nutrient Trends'!$A$54:$A$65</c:f>
              <c:strCache/>
            </c:strRef>
          </c:cat>
          <c:val>
            <c:numRef>
              <c:f>'Nutrient Trends'!$H$54:$H$65</c:f>
              <c:numCache/>
            </c:numRef>
          </c:val>
          <c:smooth val="0"/>
        </c:ser>
        <c:ser>
          <c:idx val="2"/>
          <c:order val="2"/>
          <c:tx>
            <c:strRef>
              <c:f>'Nutrient Trends'!$K$51:$N$51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'Nutrient Trends'!$A$54:$A$65</c:f>
              <c:strCache/>
            </c:strRef>
          </c:cat>
          <c:val>
            <c:numRef>
              <c:f>'Nutrient Trends'!$M$54:$M$65</c:f>
              <c:numCache/>
            </c:numRef>
          </c:val>
          <c:smooth val="0"/>
        </c:ser>
        <c:marker val="1"/>
        <c:axId val="64541655"/>
        <c:axId val="44003984"/>
      </c:lineChart>
      <c:catAx>
        <c:axId val="64541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44003984"/>
        <c:crosses val="autoZero"/>
        <c:auto val="1"/>
        <c:lblOffset val="100"/>
        <c:noMultiLvlLbl val="0"/>
      </c:catAx>
      <c:valAx>
        <c:axId val="440039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Total Phosphorus (ug/L)</a:t>
                </a:r>
              </a:p>
            </c:rich>
          </c:tx>
          <c:layout>
            <c:manualLayout>
              <c:xMode val="factor"/>
              <c:yMode val="factor"/>
              <c:x val="0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6454165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0975"/>
          <c:y val="0.02125"/>
          <c:w val="0.261"/>
          <c:h val="0.16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2005 Chatfield Reservoir 
Average Total Phosphorus Trend</a:t>
            </a:r>
          </a:p>
        </c:rich>
      </c:tx>
      <c:layout>
        <c:manualLayout>
          <c:xMode val="factor"/>
          <c:yMode val="factor"/>
          <c:x val="0.002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99"/>
          <c:w val="0.9077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'Nutrient Trends'!$M$71</c:f>
              <c:strCache>
                <c:ptCount val="1"/>
                <c:pt idx="0">
                  <c:v>Total Phosphorus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'Nutrient Trends'!$K$73:$K$84</c:f>
              <c:strCache/>
            </c:strRef>
          </c:cat>
          <c:val>
            <c:numRef>
              <c:f>'Nutrient Trends'!$M$73:$M$84</c:f>
              <c:numCache/>
            </c:numRef>
          </c:val>
        </c:ser>
        <c:axId val="60491537"/>
        <c:axId val="7552922"/>
      </c:barChart>
      <c:catAx>
        <c:axId val="60491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7552922"/>
        <c:crosses val="autoZero"/>
        <c:auto val="1"/>
        <c:lblOffset val="100"/>
        <c:noMultiLvlLbl val="0"/>
      </c:catAx>
      <c:valAx>
        <c:axId val="7552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0491537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Total Suspended Sediments Load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075"/>
          <c:w val="0.93675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'Loading Trends'!$F$4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'Loading Trends'!$A$13:$A$21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'Loading Trends'!$F$13:$F$21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'Loading Trends'!$G$4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'Loading Trends'!$A$13:$A$21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'Loading Trends'!$G$13:$G$21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1360743"/>
        <c:axId val="59593504"/>
      </c:lineChart>
      <c:catAx>
        <c:axId val="5136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593504"/>
        <c:crosses val="autoZero"/>
        <c:auto val="1"/>
        <c:lblOffset val="100"/>
        <c:noMultiLvlLbl val="0"/>
      </c:catAx>
      <c:valAx>
        <c:axId val="59593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TSS (pounds/yr)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360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"/>
          <c:y val="0.21275"/>
          <c:w val="0.2225"/>
          <c:h val="0.22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2005 Chatfield Watershed 
Total Suspended Sediment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555"/>
          <c:w val="0.921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'Nutrient Trends'!$A$51:$D$51</c:f>
              <c:strCache>
                <c:ptCount val="1"/>
                <c:pt idx="0">
                  <c:v>South Platte Outflow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'Nutrient Trends'!$A$54:$A$65</c:f>
              <c:strCache/>
            </c:strRef>
          </c:cat>
          <c:val>
            <c:numRef>
              <c:f>'Nutrient Trends'!$D$54:$D$65</c:f>
              <c:numCache/>
            </c:numRef>
          </c:val>
          <c:smooth val="0"/>
        </c:ser>
        <c:ser>
          <c:idx val="1"/>
          <c:order val="1"/>
          <c:tx>
            <c:strRef>
              <c:f>'Nutrient Trends'!$K$51:$N$51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'Nutrient Trends'!$A$54:$A$65</c:f>
              <c:strCache/>
            </c:strRef>
          </c:cat>
          <c:val>
            <c:numRef>
              <c:f>'Nutrient Trends'!$N$54:$N$65</c:f>
              <c:numCache/>
            </c:numRef>
          </c:val>
          <c:smooth val="0"/>
        </c:ser>
        <c:ser>
          <c:idx val="2"/>
          <c:order val="2"/>
          <c:tx>
            <c:strRef>
              <c:f>'Nutrient Trends'!$F$51:$I$51</c:f>
              <c:strCache>
                <c:ptCount val="1"/>
                <c:pt idx="0">
                  <c:v>Plum Creek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'Nutrient Trends'!$A$54:$A$65</c:f>
              <c:strCache/>
            </c:strRef>
          </c:cat>
          <c:val>
            <c:numRef>
              <c:f>'Nutrient Trends'!$I$54:$I$65</c:f>
              <c:numCache/>
            </c:numRef>
          </c:val>
          <c:smooth val="0"/>
        </c:ser>
        <c:marker val="1"/>
        <c:axId val="867435"/>
        <c:axId val="7806916"/>
      </c:lineChart>
      <c:catAx>
        <c:axId val="867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7806916"/>
        <c:crosses val="autoZero"/>
        <c:auto val="1"/>
        <c:lblOffset val="100"/>
        <c:noMultiLvlLbl val="0"/>
      </c:catAx>
      <c:valAx>
        <c:axId val="7806916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TSS (g/m3)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67435"/>
        <c:crossesAt val="1"/>
        <c:crossBetween val="between"/>
        <c:dispUnits/>
        <c:majorUnit val="50"/>
        <c:minorUnit val="1"/>
      </c:valAx>
      <c:spPr>
        <a:noFill/>
      </c:spPr>
    </c:plotArea>
    <c:legend>
      <c:legendPos val="r"/>
      <c:layout>
        <c:manualLayout>
          <c:xMode val="edge"/>
          <c:yMode val="edge"/>
          <c:x val="0.69075"/>
          <c:y val="0.324"/>
          <c:w val="0.218"/>
          <c:h val="0.1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2005 Chatfield Reservoir 
Total Suspended Sediment Trend</a:t>
            </a:r>
          </a:p>
        </c:rich>
      </c:tx>
      <c:layout>
        <c:manualLayout>
          <c:xMode val="factor"/>
          <c:yMode val="factor"/>
          <c:x val="0.016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3725"/>
          <c:w val="0.91075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'Nutrient Trends'!$N$71</c:f>
              <c:strCache>
                <c:ptCount val="1"/>
                <c:pt idx="0">
                  <c:v>tss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'Nutrient Trends'!$K$73:$K$84</c:f>
              <c:strCache/>
            </c:strRef>
          </c:cat>
          <c:val>
            <c:numRef>
              <c:f>'Nutrient Trends'!$N$73:$N$84</c:f>
              <c:numCache/>
            </c:numRef>
          </c:val>
        </c:ser>
        <c:axId val="3153381"/>
        <c:axId val="28380430"/>
      </c:barChart>
      <c:catAx>
        <c:axId val="3153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8380430"/>
        <c:crosses val="autoZero"/>
        <c:auto val="1"/>
        <c:lblOffset val="100"/>
        <c:noMultiLvlLbl val="0"/>
      </c:catAx>
      <c:valAx>
        <c:axId val="28380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TSS (g/m3)</a:t>
                </a:r>
              </a:p>
            </c:rich>
          </c:tx>
          <c:layout>
            <c:manualLayout>
              <c:xMode val="factor"/>
              <c:yMode val="factor"/>
              <c:x val="0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15338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Chatfield Reservoir Water Column 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958"/>
          <c:h val="0.87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pH'!$B$5:$O$5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pH'!$B$6:$O$6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pH'!$B$7:$O$7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pH'!$B$8:$O$8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pH'!$B$9:$O$9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pH'!$B$10:$O$10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pH'!$B$11:$O$11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pH'!$B$12:$O$12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pH'!$B$13:$O$13</c:f>
              <c:numCache/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pH'!$B$15:$O$15</c:f>
              <c:numCache/>
            </c:numRef>
          </c:val>
          <c:smooth val="0"/>
        </c:ser>
        <c:marker val="1"/>
        <c:axId val="54097279"/>
        <c:axId val="17113464"/>
      </c:lineChart>
      <c:dateAx>
        <c:axId val="5409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13464"/>
        <c:crosses val="autoZero"/>
        <c:auto val="0"/>
        <c:baseTimeUnit val="days"/>
        <c:majorUnit val="30"/>
        <c:majorTimeUnit val="days"/>
        <c:noMultiLvlLbl val="0"/>
      </c:dateAx>
      <c:valAx>
        <c:axId val="17113464"/>
        <c:scaling>
          <c:orientation val="minMax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 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97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Temperature Profiles (meters)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59"/>
          <c:w val="0.95875"/>
          <c:h val="0.84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'!$B$3:$P$3</c:f>
              <c:strCache/>
            </c:strRef>
          </c:cat>
          <c:val>
            <c:numRef>
              <c:f>'Water Column Profile Temp '!$B$4:$P$4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'!$B$3:$P$3</c:f>
              <c:strCache/>
            </c:strRef>
          </c:cat>
          <c:val>
            <c:numRef>
              <c:f>'Water Column Profile Temp '!$B$5:$P$5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'!$B$3:$P$3</c:f>
              <c:strCache/>
            </c:strRef>
          </c:cat>
          <c:val>
            <c:numRef>
              <c:f>'Water Column Profile Temp '!$B$6:$P$6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'!$B$3:$P$3</c:f>
              <c:strCache/>
            </c:strRef>
          </c:cat>
          <c:val>
            <c:numRef>
              <c:f>'Water Column Profile Temp '!$B$7:$P$7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'!$B$3:$P$3</c:f>
              <c:strCache/>
            </c:strRef>
          </c:cat>
          <c:val>
            <c:numRef>
              <c:f>'Water Column Profile Temp '!$B$8:$P$8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'!$B$3:$P$3</c:f>
              <c:strCache/>
            </c:strRef>
          </c:cat>
          <c:val>
            <c:numRef>
              <c:f>'Water Column Profile Temp '!$B$9:$P$9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'!$B$3:$P$3</c:f>
              <c:strCache/>
            </c:strRef>
          </c:cat>
          <c:val>
            <c:numRef>
              <c:f>'Water Column Profile Temp '!$B$10:$P$10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'!$B$3:$P$3</c:f>
              <c:strCache/>
            </c:strRef>
          </c:cat>
          <c:val>
            <c:numRef>
              <c:f>'Water Column Profile Temp '!$B$11:$P$11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'!$B$3:$P$3</c:f>
              <c:strCache/>
            </c:strRef>
          </c:cat>
          <c:val>
            <c:numRef>
              <c:f>'Water Column Profile Temp '!$B$12:$P$12</c:f>
              <c:numCache/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'!$B$3:$P$3</c:f>
              <c:strCache/>
            </c:strRef>
          </c:cat>
          <c:val>
            <c:numRef>
              <c:f>'Water Column Profile Temp '!$B$13:$P$13</c:f>
              <c:numCache/>
            </c:numRef>
          </c:val>
          <c:smooth val="0"/>
        </c:ser>
        <c:marker val="1"/>
        <c:axId val="19803449"/>
        <c:axId val="44013314"/>
      </c:lineChart>
      <c:dateAx>
        <c:axId val="1980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013314"/>
        <c:crosses val="autoZero"/>
        <c:auto val="0"/>
        <c:majorUnit val="30"/>
        <c:majorTimeUnit val="days"/>
        <c:noMultiLvlLbl val="0"/>
      </c:dateAx>
      <c:valAx>
        <c:axId val="44013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Temperature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03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Dissolved Oxygen Profiles (meters)</a:t>
            </a:r>
          </a:p>
        </c:rich>
      </c:tx>
      <c:layout>
        <c:manualLayout>
          <c:xMode val="factor"/>
          <c:yMode val="factor"/>
          <c:x val="0.008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1"/>
          <c:w val="0.93775"/>
          <c:h val="0.78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DO'!$B$4:$P$4</c:f>
              <c:strCache/>
            </c:strRef>
          </c:cat>
          <c:val>
            <c:numRef>
              <c:f>'Water Column Profile DO'!$B$5:$P$5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DO'!$B$4:$P$4</c:f>
              <c:strCache/>
            </c:strRef>
          </c:cat>
          <c:val>
            <c:numRef>
              <c:f>'Water Column Profile DO'!$B$6:$P$6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DO'!$B$4:$P$4</c:f>
              <c:strCache/>
            </c:strRef>
          </c:cat>
          <c:val>
            <c:numRef>
              <c:f>'Water Column Profile DO'!$B$7:$P$7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DO'!$B$4:$P$4</c:f>
              <c:strCache/>
            </c:strRef>
          </c:cat>
          <c:val>
            <c:numRef>
              <c:f>'Water Column Profile DO'!$B$8:$P$8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DO'!$B$4:$P$4</c:f>
              <c:strCache/>
            </c:strRef>
          </c:cat>
          <c:val>
            <c:numRef>
              <c:f>'Water Column Profile DO'!$B$9:$P$9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DO'!$B$4:$P$4</c:f>
              <c:strCache/>
            </c:strRef>
          </c:cat>
          <c:val>
            <c:numRef>
              <c:f>'Water Column Profile DO'!$B$10:$P$10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DO'!$B$4:$P$4</c:f>
              <c:strCache/>
            </c:strRef>
          </c:cat>
          <c:val>
            <c:numRef>
              <c:f>'Water Column Profile DO'!$B$11:$P$11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DO'!$B$4:$P$4</c:f>
              <c:strCache/>
            </c:strRef>
          </c:cat>
          <c:val>
            <c:numRef>
              <c:f>'Water Column Profile DO'!$B$12:$P$12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DO'!$B$4:$P$4</c:f>
              <c:strCache/>
            </c:strRef>
          </c:cat>
          <c:val>
            <c:numRef>
              <c:f>'Water Column Profile DO'!$B$13:$P$13</c:f>
              <c:numCache/>
            </c:numRef>
          </c:val>
          <c:smooth val="0"/>
        </c:ser>
        <c:ser>
          <c:idx val="9"/>
          <c:order val="9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'Water Column Profile DO'!$B$4:$P$4</c:f>
              <c:strCache/>
            </c:strRef>
          </c:cat>
          <c:val>
            <c:numRef>
              <c:f>'Water Column Profile DO'!$B$14:$P$14</c:f>
              <c:numCache/>
            </c:numRef>
          </c:val>
          <c:smooth val="0"/>
        </c:ser>
        <c:marker val="1"/>
        <c:axId val="60575507"/>
        <c:axId val="8308652"/>
      </c:lineChart>
      <c:dateAx>
        <c:axId val="60575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08652"/>
        <c:crosses val="autoZero"/>
        <c:auto val="0"/>
        <c:majorUnit val="30"/>
        <c:majorTimeUnit val="days"/>
        <c:noMultiLvlLbl val="0"/>
      </c:dateAx>
      <c:valAx>
        <c:axId val="8308652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Dissolved Oxygen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75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Specific Conductance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Cond'!$B$3:$P$3</c:f>
              <c:strCache/>
            </c:strRef>
          </c:cat>
          <c:val>
            <c:numRef>
              <c:f>'Water Column Profile Cond'!$B$4:$P$4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Cond'!$B$3:$P$3</c:f>
              <c:strCache/>
            </c:strRef>
          </c:cat>
          <c:val>
            <c:numRef>
              <c:f>'Water Column Profile Cond'!$B$5:$P$5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Cond'!$B$3:$P$3</c:f>
              <c:strCache/>
            </c:strRef>
          </c:cat>
          <c:val>
            <c:numRef>
              <c:f>'Water Column Profile Cond'!$B$6:$P$6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Cond'!$B$3:$P$3</c:f>
              <c:strCache/>
            </c:strRef>
          </c:cat>
          <c:val>
            <c:numRef>
              <c:f>'Water Column Profile Cond'!$B$7:$P$7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Cond'!$B$3:$P$3</c:f>
              <c:strCache/>
            </c:strRef>
          </c:cat>
          <c:val>
            <c:numRef>
              <c:f>'Water Column Profile Cond'!$B$8:$P$8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Cond'!$B$3:$P$3</c:f>
              <c:strCache/>
            </c:strRef>
          </c:cat>
          <c:val>
            <c:numRef>
              <c:f>'Water Column Profile Cond'!$B$9:$P$9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Cond'!$B$3:$P$3</c:f>
              <c:strCache/>
            </c:strRef>
          </c:cat>
          <c:val>
            <c:numRef>
              <c:f>'Water Column Profile Cond'!$B$10:$P$10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Cond'!$B$3:$P$3</c:f>
              <c:strCache/>
            </c:strRef>
          </c:cat>
          <c:val>
            <c:numRef>
              <c:f>'Water Column Profile Cond'!$B$11:$P$11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Cond'!$B$3:$P$3</c:f>
              <c:strCache/>
            </c:strRef>
          </c:cat>
          <c:val>
            <c:numRef>
              <c:f>'Water Column Profile Cond'!$B$12:$P$12</c:f>
              <c:numCache/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Cond'!$B$3:$P$3</c:f>
              <c:strCache/>
            </c:strRef>
          </c:cat>
          <c:val>
            <c:numRef>
              <c:f>'Water Column Profile Cond'!$B$13:$P$13</c:f>
              <c:numCache/>
            </c:numRef>
          </c:val>
          <c:smooth val="0"/>
        </c:ser>
        <c:marker val="1"/>
        <c:axId val="7669005"/>
        <c:axId val="1912182"/>
      </c:lineChart>
      <c:dateAx>
        <c:axId val="7669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2182"/>
        <c:crosses val="autoZero"/>
        <c:auto val="0"/>
        <c:majorUnit val="30"/>
        <c:majorTimeUnit val="days"/>
        <c:noMultiLvlLbl val="0"/>
      </c:dateAx>
      <c:valAx>
        <c:axId val="1912182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SC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69005"/>
        <c:crossesAt val="1"/>
        <c:crossBetween val="between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Chlorophyll a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7925"/>
          <c:w val="0.97575"/>
          <c:h val="0.85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'Chlorophyll a'!$B$2:$P$2</c:f>
              <c:strCache/>
            </c:strRef>
          </c:cat>
          <c:val>
            <c:numRef>
              <c:f>'Chlorophyll a'!$B$3:$P$3</c:f>
              <c:numCache/>
            </c:numRef>
          </c:val>
          <c:smooth val="0"/>
        </c:ser>
        <c:marker val="1"/>
        <c:axId val="17209639"/>
        <c:axId val="20669024"/>
      </c:lineChart>
      <c:dateAx>
        <c:axId val="17209639"/>
        <c:scaling>
          <c:orientation val="minMax"/>
        </c:scaling>
        <c:axPos val="b"/>
        <c:delete val="0"/>
        <c:numFmt formatCode="[$-409]d\-m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0669024"/>
        <c:crosses val="autoZero"/>
        <c:auto val="0"/>
        <c:majorUnit val="30"/>
        <c:majorTimeUnit val="days"/>
        <c:noMultiLvlLbl val="0"/>
      </c:dateAx>
      <c:valAx>
        <c:axId val="20669024"/>
        <c:scaling>
          <c:orientation val="minMax"/>
          <c:max val="1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Chlorophll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09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10925"/>
          <c:w val="0.9885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Conductivity!$A$10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Conductivity!$B$2:$T$2</c:f>
              <c:strCache/>
            </c:strRef>
          </c:cat>
          <c:val>
            <c:numRef>
              <c:f>Conductivity!$B$10:$R$10</c:f>
              <c:numCache/>
            </c:numRef>
          </c:val>
          <c:smooth val="0"/>
        </c:ser>
        <c:ser>
          <c:idx val="1"/>
          <c:order val="1"/>
          <c:tx>
            <c:strRef>
              <c:f>Conductivity!$A$8</c:f>
              <c:strCache>
                <c:ptCount val="1"/>
                <c:pt idx="0">
                  <c:v>Outfall from Chatfield Res., 06709601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Conductivity!$B$2:$T$2</c:f>
              <c:strCache/>
            </c:strRef>
          </c:cat>
          <c:val>
            <c:numRef>
              <c:f>Conductivity!$B$8:$R$8</c:f>
              <c:numCache/>
            </c:numRef>
          </c:val>
          <c:smooth val="0"/>
        </c:ser>
        <c:marker val="1"/>
        <c:axId val="51803489"/>
        <c:axId val="63578218"/>
      </c:lineChart>
      <c:dateAx>
        <c:axId val="5180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3578218"/>
        <c:crosses val="autoZero"/>
        <c:auto val="0"/>
        <c:majorUnit val="15"/>
        <c:majorTimeUnit val="days"/>
        <c:noMultiLvlLbl val="0"/>
      </c:dateAx>
      <c:valAx>
        <c:axId val="63578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03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525"/>
          <c:y val="0.00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'E. Coli'!$A$8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'E. Coli'!$B$2:$P$2</c:f>
              <c:strCache/>
            </c:strRef>
          </c:cat>
          <c:val>
            <c:numRef>
              <c:f>'E. Coli'!$B$8:$P$8</c:f>
              <c:numCache/>
            </c:numRef>
          </c:val>
          <c:smooth val="0"/>
        </c:ser>
        <c:ser>
          <c:idx val="1"/>
          <c:order val="1"/>
          <c:tx>
            <c:strRef>
              <c:f>'E. Coli'!$A$7</c:f>
              <c:strCache>
                <c:ptCount val="1"/>
                <c:pt idx="0">
                  <c:v>Plum Creek at Titan Road, 06709530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'E. Coli'!$B$2:$P$2</c:f>
              <c:strCache/>
            </c:strRef>
          </c:cat>
          <c:val>
            <c:numRef>
              <c:f>'E. Coli'!$B$7:$P$7</c:f>
              <c:numCache/>
            </c:numRef>
          </c:val>
          <c:smooth val="0"/>
        </c:ser>
        <c:marker val="1"/>
        <c:axId val="35333051"/>
        <c:axId val="49562004"/>
      </c:lineChart>
      <c:dateAx>
        <c:axId val="3533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562004"/>
        <c:crosses val="autoZero"/>
        <c:auto val="0"/>
        <c:majorUnit val="30"/>
        <c:majorTimeUnit val="days"/>
        <c:noMultiLvlLbl val="0"/>
      </c:dateAx>
      <c:valAx>
        <c:axId val="49562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33051"/>
        <c:crossesAt val="1"/>
        <c:crossBetween val="between"/>
        <c:dispUnits/>
      </c:valAx>
      <c:spPr>
        <a:solidFill>
          <a:srgbClr val="C0C0C0"/>
        </a:solidFill>
        <a:ln w="254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07"/>
          <c:w val="0.97325"/>
          <c:h val="0.83775"/>
        </c:manualLayout>
      </c:layout>
      <c:lineChart>
        <c:grouping val="standard"/>
        <c:varyColors val="0"/>
        <c:ser>
          <c:idx val="0"/>
          <c:order val="0"/>
          <c:tx>
            <c:strRef>
              <c:f>'Instantaneous Streamflow'!$A$6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'Instantaneous Streamflow'!$B$2:$P$2</c:f>
              <c:strCache/>
            </c:strRef>
          </c:cat>
          <c:val>
            <c:numRef>
              <c:f>'Instantaneous Streamflow'!$B$6:$P$6</c:f>
              <c:numCache/>
            </c:numRef>
          </c:val>
          <c:smooth val="0"/>
        </c:ser>
        <c:marker val="1"/>
        <c:axId val="43404853"/>
        <c:axId val="55099358"/>
      </c:lineChart>
      <c:dateAx>
        <c:axId val="4340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99358"/>
        <c:crosses val="autoZero"/>
        <c:auto val="0"/>
        <c:majorUnit val="30"/>
        <c:majorTimeUnit val="days"/>
        <c:noMultiLvlLbl val="0"/>
      </c:dateAx>
      <c:valAx>
        <c:axId val="55099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04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25"/>
          <c:y val="0.4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South Platte River Nutrient Trend After 2002 Hayman Wildire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98"/>
          <c:w val="0.92625"/>
          <c:h val="0.902"/>
        </c:manualLayout>
      </c:layout>
      <c:lineChart>
        <c:grouping val="standard"/>
        <c:varyColors val="0"/>
        <c:ser>
          <c:idx val="0"/>
          <c:order val="0"/>
          <c:tx>
            <c:strRef>
              <c:f>'Loading Trends'!$D$3:$E$3</c:f>
              <c:strCache>
                <c:ptCount val="1"/>
                <c:pt idx="0">
                  <c:v>Nitrogen Load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'Loading Trends'!$A$16:$A$21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'Loading Trends'!$D$16:$D$21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'Loading Trends'!$B$3:$C$3</c:f>
              <c:strCache>
                <c:ptCount val="1"/>
                <c:pt idx="0">
                  <c:v>Total Phosphorus Load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'Loading Trends'!$B$16:$B$21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6579489"/>
        <c:axId val="62344490"/>
      </c:lineChart>
      <c:catAx>
        <c:axId val="6657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344490"/>
        <c:crosses val="autoZero"/>
        <c:auto val="0"/>
        <c:lblOffset val="100"/>
        <c:noMultiLvlLbl val="0"/>
      </c:catAx>
      <c:valAx>
        <c:axId val="62344490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Nurients (Pounds/yr)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579489"/>
        <c:crossesAt val="1"/>
        <c:crossBetween val="between"/>
        <c:dispUnits/>
        <c:majorUnit val="10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75"/>
          <c:y val="0.15675"/>
          <c:w val="0.2215"/>
          <c:h val="0.20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Chatfield Reservoir Total Inflow (Acre-Feet/ Year)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1655"/>
          <c:w val="0.84875"/>
          <c:h val="0.65475"/>
        </c:manualLayout>
      </c:layout>
      <c:pie3DChart>
        <c:varyColors val="1"/>
        <c:ser>
          <c:idx val="0"/>
          <c:order val="0"/>
          <c:tx>
            <c:strRef>
              <c:f>'Instantaneous Streamflow'!$D$27:$D$28</c:f>
              <c:strCache>
                <c:ptCount val="1"/>
                <c:pt idx="0">
                  <c:v>Total Inflow</c:v>
                </c:pt>
              </c:strCache>
            </c:strRef>
          </c:tx>
          <c:explosion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9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;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;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0"/>
            <c:showPercent val="1"/>
            <c:separator>;</c:separator>
          </c:dLbls>
          <c:cat>
            <c:multiLvlStrRef>
              <c:f>'Instantaneous Streamflow'!$B$27:$C$28</c:f>
              <c:multiLvlStrCache/>
            </c:multiLvlStrRef>
          </c:cat>
          <c:val>
            <c:numRef>
              <c:f>'Instantaneous Streamflow'!$B$42:$C$42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South Platte River and Plum Creek Nitrate-Nitrogen Trends in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4825"/>
          <c:w val="0.9385"/>
          <c:h val="0.91725"/>
        </c:manualLayout>
      </c:layout>
      <c:lineChart>
        <c:grouping val="standard"/>
        <c:varyColors val="0"/>
        <c:ser>
          <c:idx val="0"/>
          <c:order val="0"/>
          <c:tx>
            <c:strRef>
              <c:f>'Nitrate-Nitrite as N, dissolve'!$A$5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numFmt formatCode="General" sourceLinked="1"/>
            </c:trendlineLbl>
          </c:trendline>
          <c:cat>
            <c:strRef>
              <c:f>'Nitrate-Nitrite as N, dissolve'!$Q$20:$Q$31</c:f>
              <c:strCache/>
            </c:strRef>
          </c:cat>
          <c:val>
            <c:numRef>
              <c:f>'Nitrate-Nitrite as N, dissolve'!$R$20:$R$31</c:f>
              <c:numCache/>
            </c:numRef>
          </c:val>
          <c:smooth val="0"/>
        </c:ser>
        <c:ser>
          <c:idx val="1"/>
          <c:order val="1"/>
          <c:tx>
            <c:strRef>
              <c:f>'Nitrate-Nitrite as N, dissolve'!$A$13</c:f>
              <c:strCache>
                <c:ptCount val="1"/>
                <c:pt idx="0">
                  <c:v>Plum Creek at Titan Road, 06709530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val>
            <c:numRef>
              <c:f>'Nitrate-Nitrite as N, dissolve'!$S$20:$S$31</c:f>
              <c:numCache/>
            </c:numRef>
          </c:val>
          <c:smooth val="0"/>
        </c:ser>
        <c:marker val="1"/>
        <c:axId val="26132175"/>
        <c:axId val="33862984"/>
      </c:lineChart>
      <c:catAx>
        <c:axId val="26132175"/>
        <c:scaling>
          <c:orientation val="minMax"/>
        </c:scaling>
        <c:axPos val="b"/>
        <c:delete val="0"/>
        <c:numFmt formatCode="[$-409]d\-m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862984"/>
        <c:crosses val="autoZero"/>
        <c:auto val="1"/>
        <c:lblOffset val="100"/>
        <c:noMultiLvlLbl val="0"/>
      </c:catAx>
      <c:valAx>
        <c:axId val="33862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Nitrate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132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75"/>
          <c:y val="0.1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'Nitrogen, ammonia'!$A$3</c:f>
              <c:strCache>
                <c:ptCount val="1"/>
                <c:pt idx="0">
                  <c:v>Massey Draw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ammonia'!$B$2:$P$2</c:f>
              <c:strCache/>
            </c:strRef>
          </c:cat>
          <c:val>
            <c:numRef>
              <c:f>'Nitrogen, ammonia'!$B$3:$P$3</c:f>
              <c:numCache/>
            </c:numRef>
          </c:val>
          <c:smooth val="0"/>
        </c:ser>
        <c:ser>
          <c:idx val="1"/>
          <c:order val="1"/>
          <c:tx>
            <c:strRef>
              <c:f>'Nitrogen, ammonia'!$A$4</c:f>
              <c:strCache>
                <c:ptCount val="1"/>
                <c:pt idx="0">
                  <c:v>Outfall from Chatfield Res., 06709601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ammonia'!$B$2:$P$2</c:f>
              <c:strCache/>
            </c:strRef>
          </c:cat>
          <c:val>
            <c:numRef>
              <c:f>'Nitrogen, ammonia'!$B$4:$P$4</c:f>
              <c:numCache/>
            </c:numRef>
          </c:val>
          <c:smooth val="0"/>
        </c:ser>
        <c:ser>
          <c:idx val="2"/>
          <c:order val="2"/>
          <c:tx>
            <c:strRef>
              <c:f>'Nitrogen, ammonia'!$A$5</c:f>
              <c:strCache>
                <c:ptCount val="1"/>
                <c:pt idx="0">
                  <c:v>Plum Creek at Titan Road, 06709530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ammonia'!$B$2:$P$2</c:f>
              <c:strCache/>
            </c:strRef>
          </c:cat>
          <c:val>
            <c:numRef>
              <c:f>'Nitrogen, ammonia'!$B$5:$P$5</c:f>
              <c:numCache/>
            </c:numRef>
          </c:val>
          <c:smooth val="0"/>
        </c:ser>
        <c:marker val="1"/>
        <c:axId val="36331401"/>
        <c:axId val="58547154"/>
      </c:lineChart>
      <c:dateAx>
        <c:axId val="36331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47154"/>
        <c:crosses val="autoZero"/>
        <c:auto val="0"/>
        <c:majorUnit val="30"/>
        <c:majorTimeUnit val="days"/>
        <c:noMultiLvlLbl val="0"/>
      </c:dateAx>
      <c:valAx>
        <c:axId val="585471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31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'Nitrogen, total'!$A$17</c:f>
              <c:strCache>
                <c:ptCount val="1"/>
                <c:pt idx="0">
                  <c:v>Chatfield In-Reservoir Near Dam - Bottom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total'!$B$16:$T$16</c:f>
              <c:strCache/>
            </c:strRef>
          </c:cat>
          <c:val>
            <c:numRef>
              <c:f>'Nitrogen, total'!$B$17:$T$17</c:f>
              <c:numCache/>
            </c:numRef>
          </c:val>
          <c:smooth val="0"/>
        </c:ser>
        <c:ser>
          <c:idx val="1"/>
          <c:order val="1"/>
          <c:tx>
            <c:strRef>
              <c:f>'Nitrogen, total'!$A$18</c:f>
              <c:strCache>
                <c:ptCount val="1"/>
                <c:pt idx="0">
                  <c:v>Chatfield In-Reservoir Near Dam - Mid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total'!$B$16:$T$16</c:f>
              <c:strCache/>
            </c:strRef>
          </c:cat>
          <c:val>
            <c:numRef>
              <c:f>'Nitrogen, total'!$B$18:$T$18</c:f>
              <c:numCache/>
            </c:numRef>
          </c:val>
          <c:smooth val="0"/>
        </c:ser>
        <c:ser>
          <c:idx val="2"/>
          <c:order val="2"/>
          <c:tx>
            <c:strRef>
              <c:f>'Nitrogen, total'!$A$19</c:f>
              <c:strCache>
                <c:ptCount val="1"/>
                <c:pt idx="0">
                  <c:v>Chatfield In-Reservoir Near Dam - Top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total'!$B$16:$T$16</c:f>
              <c:strCache/>
            </c:strRef>
          </c:cat>
          <c:val>
            <c:numRef>
              <c:f>'Nitrogen, total'!$B$19:$T$19</c:f>
              <c:numCache/>
            </c:numRef>
          </c:val>
          <c:smooth val="0"/>
        </c:ser>
        <c:ser>
          <c:idx val="4"/>
          <c:order val="3"/>
          <c:tx>
            <c:strRef>
              <c:f>'Nitrogen, total'!$A$21</c:f>
              <c:strCache>
                <c:ptCount val="1"/>
                <c:pt idx="0">
                  <c:v>Outfall from Chatfield Res., 06709601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total'!$B$16:$T$16</c:f>
              <c:strCache/>
            </c:strRef>
          </c:cat>
          <c:val>
            <c:numRef>
              <c:f>'Nitrogen, total'!$B$21:$O$21</c:f>
              <c:numCache/>
            </c:numRef>
          </c:val>
          <c:smooth val="0"/>
        </c:ser>
        <c:ser>
          <c:idx val="5"/>
          <c:order val="4"/>
          <c:tx>
            <c:strRef>
              <c:f>'Nitrogen, total'!$A$22</c:f>
              <c:strCache>
                <c:ptCount val="1"/>
                <c:pt idx="0">
                  <c:v>Plum Creek at Titan Road, 06709530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total'!$B$16:$T$16</c:f>
              <c:strCache/>
            </c:strRef>
          </c:cat>
          <c:val>
            <c:numRef>
              <c:f>'Nitrogen, total'!$B$22:$O$22</c:f>
              <c:numCache/>
            </c:numRef>
          </c:val>
          <c:smooth val="0"/>
        </c:ser>
        <c:ser>
          <c:idx val="6"/>
          <c:order val="5"/>
          <c:tx>
            <c:strRef>
              <c:f>'Nitrogen, total'!$A$23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total'!$B$16:$T$16</c:f>
              <c:strCache/>
            </c:strRef>
          </c:cat>
          <c:val>
            <c:numRef>
              <c:f>'Nitrogen, total'!$B$23:$O$23</c:f>
              <c:numCache/>
            </c:numRef>
          </c:val>
          <c:smooth val="0"/>
        </c:ser>
        <c:marker val="1"/>
        <c:axId val="57162339"/>
        <c:axId val="44699004"/>
      </c:lineChart>
      <c:dateAx>
        <c:axId val="5716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99004"/>
        <c:crosses val="autoZero"/>
        <c:auto val="0"/>
        <c:majorUnit val="15"/>
        <c:majorTimeUnit val="days"/>
        <c:noMultiLvlLbl val="0"/>
      </c:dateAx>
      <c:valAx>
        <c:axId val="44699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62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Dissolved Oxygen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7875"/>
          <c:w val="0.92675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'Oxygen, dissolved'!$A$3</c:f>
              <c:strCache>
                <c:ptCount val="1"/>
                <c:pt idx="0">
                  <c:v>Chatfield In-Reservoir Near Dam - Bottom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'Oxygen, dissolved'!$B$2:$S$2</c:f>
              <c:strCache/>
            </c:strRef>
          </c:cat>
          <c:val>
            <c:numRef>
              <c:f>'Oxygen, dissolved'!$B$3:$P$3</c:f>
              <c:numCache/>
            </c:numRef>
          </c:val>
          <c:smooth val="0"/>
        </c:ser>
        <c:ser>
          <c:idx val="1"/>
          <c:order val="1"/>
          <c:tx>
            <c:strRef>
              <c:f>'Oxygen, dissolved'!$A$4</c:f>
              <c:strCache>
                <c:ptCount val="1"/>
                <c:pt idx="0">
                  <c:v>Chatfield In-Reservoir Near Dam - Mid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'Oxygen, dissolved'!$B$2:$S$2</c:f>
              <c:strCache/>
            </c:strRef>
          </c:cat>
          <c:val>
            <c:numRef>
              <c:f>'Oxygen, dissolved'!$B$4:$P$4</c:f>
              <c:numCache/>
            </c:numRef>
          </c:val>
          <c:smooth val="0"/>
        </c:ser>
        <c:ser>
          <c:idx val="2"/>
          <c:order val="2"/>
          <c:tx>
            <c:strRef>
              <c:f>'Oxygen, dissolved'!$A$5</c:f>
              <c:strCache>
                <c:ptCount val="1"/>
                <c:pt idx="0">
                  <c:v>Chatfield In-Reservoir Near Dam - Top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'Oxygen, dissolved'!$B$2:$S$2</c:f>
              <c:strCache/>
            </c:strRef>
          </c:cat>
          <c:val>
            <c:numRef>
              <c:f>'Oxygen, dissolved'!$B$5:$P$5</c:f>
              <c:numCache/>
            </c:numRef>
          </c:val>
          <c:smooth val="0"/>
        </c:ser>
        <c:marker val="1"/>
        <c:axId val="66746717"/>
        <c:axId val="63849542"/>
      </c:lineChart>
      <c:dateAx>
        <c:axId val="66746717"/>
        <c:scaling>
          <c:orientation val="minMax"/>
        </c:scaling>
        <c:axPos val="b"/>
        <c:delete val="0"/>
        <c:numFmt formatCode="[$-409]d\-m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49542"/>
        <c:crosses val="autoZero"/>
        <c:auto val="0"/>
        <c:majorUnit val="30"/>
        <c:majorTimeUnit val="days"/>
        <c:noMultiLvlLbl val="0"/>
      </c:dateAx>
      <c:valAx>
        <c:axId val="63849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Dissovled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46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3"/>
          <c:y val="0.1015"/>
          <c:w val="0.40075"/>
          <c:h val="0.11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4"/>
          <c:w val="0.94875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pH!$A$9</c:f>
              <c:strCache>
                <c:ptCount val="1"/>
                <c:pt idx="0">
                  <c:v>Plum Creek at Titan Road, 06709530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pH!$B$2:$S$2</c:f>
              <c:strCache/>
            </c:strRef>
          </c:cat>
          <c:val>
            <c:numRef>
              <c:f>pH!$B$9:$Q$9</c:f>
              <c:numCache/>
            </c:numRef>
          </c:val>
          <c:smooth val="0"/>
        </c:ser>
        <c:ser>
          <c:idx val="2"/>
          <c:order val="1"/>
          <c:tx>
            <c:strRef>
              <c:f>pH!$A$8</c:f>
              <c:strCache>
                <c:ptCount val="1"/>
                <c:pt idx="0">
                  <c:v>Outfall from Chatfield Res., 06709601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pH!$B$2:$S$2</c:f>
              <c:strCache/>
            </c:strRef>
          </c:cat>
          <c:val>
            <c:numRef>
              <c:f>pH!$B$8:$Q$8</c:f>
              <c:numCache/>
            </c:numRef>
          </c:val>
          <c:smooth val="0"/>
        </c:ser>
        <c:ser>
          <c:idx val="1"/>
          <c:order val="2"/>
          <c:tx>
            <c:strRef>
              <c:f>pH!$A$5</c:f>
              <c:strCache>
                <c:ptCount val="1"/>
                <c:pt idx="0">
                  <c:v>Chatfield In-Reservoir Near Dam - Top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pH!$B$2:$S$2</c:f>
              <c:strCache/>
            </c:strRef>
          </c:cat>
          <c:val>
            <c:numRef>
              <c:f>pH!$B$5:$P$5</c:f>
              <c:numCache/>
            </c:numRef>
          </c:val>
          <c:smooth val="0"/>
        </c:ser>
        <c:marker val="1"/>
        <c:axId val="37774967"/>
        <c:axId val="4430384"/>
      </c:lineChart>
      <c:dateAx>
        <c:axId val="37774967"/>
        <c:scaling>
          <c:orientation val="minMax"/>
        </c:scaling>
        <c:axPos val="b"/>
        <c:delete val="0"/>
        <c:numFmt formatCode="[$-409]d\-mmm;@" sourceLinked="0"/>
        <c:majorTickMark val="out"/>
        <c:minorTickMark val="none"/>
        <c:tickLblPos val="nextTo"/>
        <c:crossAx val="4430384"/>
        <c:crosses val="autoZero"/>
        <c:auto val="0"/>
        <c:majorUnit val="30"/>
        <c:majorTimeUnit val="days"/>
        <c:noMultiLvlLbl val="0"/>
      </c:dateAx>
      <c:valAx>
        <c:axId val="4430384"/>
        <c:scaling>
          <c:orientation val="minMax"/>
          <c:min val="6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74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925"/>
          <c:y val="0.0465"/>
          <c:w val="0.318"/>
          <c:h val="0.27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'Phosphorus, ortho total'!$A$16</c:f>
              <c:strCache>
                <c:ptCount val="1"/>
                <c:pt idx="0">
                  <c:v>Outfall from Chatfield Res., 06709601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'Phosphorus, ortho total'!$B$11:$T$11</c:f>
              <c:strCache/>
            </c:strRef>
          </c:cat>
          <c:val>
            <c:numRef>
              <c:f>'Phosphorus, ortho total'!$B$16:$T$16</c:f>
              <c:numCache/>
            </c:numRef>
          </c:val>
          <c:smooth val="0"/>
        </c:ser>
        <c:ser>
          <c:idx val="1"/>
          <c:order val="1"/>
          <c:tx>
            <c:strRef>
              <c:f>'Phosphorus, ortho total'!$A$17</c:f>
              <c:strCache>
                <c:ptCount val="1"/>
                <c:pt idx="0">
                  <c:v>Plum Creek at Titan Road, 06709530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'Phosphorus, ortho total'!$B$11:$T$11</c:f>
              <c:strCache/>
            </c:strRef>
          </c:cat>
          <c:val>
            <c:numRef>
              <c:f>'Phosphorus, ortho total'!$B$17:$T$17</c:f>
              <c:numCache/>
            </c:numRef>
          </c:val>
          <c:smooth val="0"/>
        </c:ser>
        <c:marker val="1"/>
        <c:axId val="39873457"/>
        <c:axId val="23316794"/>
      </c:lineChart>
      <c:dateAx>
        <c:axId val="39873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16794"/>
        <c:crosses val="autoZero"/>
        <c:auto val="0"/>
        <c:majorUnit val="30"/>
        <c:majorTimeUnit val="days"/>
        <c:noMultiLvlLbl val="0"/>
      </c:dateAx>
      <c:valAx>
        <c:axId val="23316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73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2005 Total Phosphorus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72"/>
          <c:w val="0.94475"/>
          <c:h val="0.88"/>
        </c:manualLayout>
      </c:layout>
      <c:lineChart>
        <c:grouping val="standard"/>
        <c:varyColors val="0"/>
        <c:ser>
          <c:idx val="2"/>
          <c:order val="0"/>
          <c:tx>
            <c:strRef>
              <c:f>'Phosphorus, total'!$A$22</c:f>
              <c:strCache>
                <c:ptCount val="1"/>
                <c:pt idx="0">
                  <c:v>Chatfield In-Reservoir Near Dam - Top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'Phosphorus, total'!$B$18:$T$18</c:f>
              <c:strCache/>
            </c:strRef>
          </c:cat>
          <c:val>
            <c:numRef>
              <c:f>'Phosphorus, total'!$B$23:$M$23</c:f>
              <c:numCache/>
            </c:numRef>
          </c:val>
          <c:smooth val="0"/>
        </c:ser>
        <c:ser>
          <c:idx val="6"/>
          <c:order val="1"/>
          <c:tx>
            <c:strRef>
              <c:f>'Phosphorus, total'!$A$28</c:f>
              <c:strCache>
                <c:ptCount val="1"/>
                <c:pt idx="0">
                  <c:v>Plum Creek at Titan Road, 06709530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'Phosphorus, total'!$B$18:$T$18</c:f>
              <c:strCache/>
            </c:strRef>
          </c:cat>
          <c:val>
            <c:numRef>
              <c:f>'Phosphorus, total'!$B$28:$M$28</c:f>
              <c:numCache/>
            </c:numRef>
          </c:val>
          <c:smooth val="0"/>
        </c:ser>
        <c:ser>
          <c:idx val="7"/>
          <c:order val="2"/>
          <c:tx>
            <c:strRef>
              <c:f>'Phosphorus, total'!$A$29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'Phosphorus, total'!$B$18:$T$18</c:f>
              <c:strCache/>
            </c:strRef>
          </c:cat>
          <c:val>
            <c:numRef>
              <c:f>'Phosphorus, total'!$B$29:$M$29</c:f>
              <c:numCache/>
            </c:numRef>
          </c:val>
          <c:smooth val="0"/>
        </c:ser>
        <c:marker val="1"/>
        <c:axId val="8524555"/>
        <c:axId val="9612132"/>
      </c:lineChart>
      <c:catAx>
        <c:axId val="8524555"/>
        <c:scaling>
          <c:orientation val="minMax"/>
        </c:scaling>
        <c:axPos val="b"/>
        <c:delete val="0"/>
        <c:numFmt formatCode="[$-409]d\-m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612132"/>
        <c:crosses val="autoZero"/>
        <c:auto val="1"/>
        <c:lblOffset val="100"/>
        <c:noMultiLvlLbl val="0"/>
      </c:catAx>
      <c:valAx>
        <c:axId val="9612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Total Phosphorus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8524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5"/>
          <c:y val="0.0625"/>
          <c:w val="0.262"/>
          <c:h val="0.254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21"/>
          <c:w val="0.9772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'Residue, Non-Filterable (TSS)'!$A$13</c:f>
              <c:strCache>
                <c:ptCount val="1"/>
                <c:pt idx="0">
                  <c:v>Chatfield In-Reservoir Near Dam - Bottom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'Residue, Non-Filterable (TSS)'!$B$12:$M$12</c:f>
              <c:strCache/>
            </c:strRef>
          </c:cat>
          <c:val>
            <c:numRef>
              <c:f>'Residue, Non-Filterable (TSS)'!$B$13:$M$13</c:f>
              <c:numCache/>
            </c:numRef>
          </c:val>
          <c:smooth val="0"/>
        </c:ser>
        <c:ser>
          <c:idx val="1"/>
          <c:order val="1"/>
          <c:tx>
            <c:strRef>
              <c:f>'Residue, Non-Filterable (TSS)'!$A$14</c:f>
              <c:strCache>
                <c:ptCount val="1"/>
                <c:pt idx="0">
                  <c:v>Chatfield In-Reservoir Near Dam - Mid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'Residue, Non-Filterable (TSS)'!$B$12:$M$12</c:f>
              <c:strCache/>
            </c:strRef>
          </c:cat>
          <c:val>
            <c:numRef>
              <c:f>'Residue, Non-Filterable (TSS)'!$B$14:$M$14</c:f>
              <c:numCache/>
            </c:numRef>
          </c:val>
          <c:smooth val="0"/>
        </c:ser>
        <c:ser>
          <c:idx val="2"/>
          <c:order val="2"/>
          <c:tx>
            <c:strRef>
              <c:f>'Residue, Non-Filterable (TSS)'!$A$15</c:f>
              <c:strCache>
                <c:ptCount val="1"/>
                <c:pt idx="0">
                  <c:v>Chatfield In-Reservoir Near Dam - Top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'Residue, Non-Filterable (TSS)'!$B$12:$M$12</c:f>
              <c:strCache/>
            </c:strRef>
          </c:cat>
          <c:val>
            <c:numRef>
              <c:f>'Residue, Non-Filterable (TSS)'!$B$15:$M$15</c:f>
              <c:numCache/>
            </c:numRef>
          </c:val>
          <c:smooth val="0"/>
        </c:ser>
        <c:ser>
          <c:idx val="6"/>
          <c:order val="3"/>
          <c:tx>
            <c:strRef>
              <c:f>'Residue, Non-Filterable (TSS)'!$A$19</c:f>
              <c:strCache>
                <c:ptCount val="1"/>
                <c:pt idx="0">
                  <c:v>Outfall from Chatfield Res., 06709601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'Residue, Non-Filterable (TSS)'!$B$12:$M$12</c:f>
              <c:strCache/>
            </c:strRef>
          </c:cat>
          <c:val>
            <c:numRef>
              <c:f>'Residue, Non-Filterable (TSS)'!$B$19:$M$19</c:f>
              <c:numCache/>
            </c:numRef>
          </c:val>
          <c:smooth val="0"/>
        </c:ser>
        <c:marker val="1"/>
        <c:axId val="19400325"/>
        <c:axId val="40385198"/>
      </c:lineChart>
      <c:catAx>
        <c:axId val="19400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85198"/>
        <c:crosses val="autoZero"/>
        <c:auto val="1"/>
        <c:lblOffset val="100"/>
        <c:noMultiLvlLbl val="0"/>
      </c:catAx>
      <c:valAx>
        <c:axId val="40385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00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075"/>
          <c:y val="0.04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Chatfield In-Reservoir Secchi Depth (feet)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5825"/>
          <c:w val="0.9435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'Secchi depth'!$A$3</c:f>
              <c:strCache>
                <c:ptCount val="1"/>
                <c:pt idx="0">
                  <c:v>Chatfield In-Reservoir Near Dam - Mid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'Secchi depth'!$B$2:$N$2</c:f>
              <c:strCache/>
            </c:strRef>
          </c:cat>
          <c:val>
            <c:numRef>
              <c:f>'Secchi depth'!$B$5:$N$5</c:f>
              <c:numCache/>
            </c:numRef>
          </c:val>
          <c:smooth val="0"/>
        </c:ser>
        <c:marker val="1"/>
        <c:axId val="27922463"/>
        <c:axId val="49975576"/>
      </c:lineChart>
      <c:dateAx>
        <c:axId val="27922463"/>
        <c:scaling>
          <c:orientation val="minMax"/>
        </c:scaling>
        <c:axPos val="t"/>
        <c:delete val="0"/>
        <c:numFmt formatCode="[$-409]d\-mmm;@" sourceLinked="0"/>
        <c:majorTickMark val="out"/>
        <c:minorTickMark val="none"/>
        <c:tickLblPos val="nextTo"/>
        <c:crossAx val="49975576"/>
        <c:crosses val="autoZero"/>
        <c:auto val="0"/>
        <c:majorUnit val="15"/>
        <c:majorTimeUnit val="days"/>
        <c:noMultiLvlLbl val="0"/>
      </c:dateAx>
      <c:valAx>
        <c:axId val="49975576"/>
        <c:scaling>
          <c:orientation val="maxMin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2246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2005 Chatfield Reservoir
Total Nitrate Loading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775"/>
          <c:y val="0.1895"/>
          <c:w val="0.8305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'2005 Loading'!$B$2</c:f>
              <c:strCache>
                <c:ptCount val="1"/>
                <c:pt idx="0">
                  <c:v>South Platte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 Loading'!$A$3:$A$14</c:f>
              <c:strCache/>
            </c:strRef>
          </c:cat>
          <c:val>
            <c:numRef>
              <c:f>'2005 Loading'!$B$3:$B$14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'2005 Loading'!$C$2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'2005 Loading'!$A$3:$A$14</c:f>
              <c:strCache/>
            </c:strRef>
          </c:cat>
          <c:val>
            <c:numRef>
              <c:f>'2005 Loading'!$C$3:$C$14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4229499"/>
        <c:axId val="16738900"/>
      </c:barChart>
      <c:catAx>
        <c:axId val="24229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738900"/>
        <c:crosses val="autoZero"/>
        <c:auto val="1"/>
        <c:lblOffset val="100"/>
        <c:noMultiLvlLbl val="0"/>
      </c:catAx>
      <c:valAx>
        <c:axId val="16738900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Nitrate Loading Pounds/Month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4229499"/>
        <c:crossesAt val="1"/>
        <c:crossBetween val="between"/>
        <c:dispUnits/>
        <c:majorUnit val="5000"/>
        <c:minorUnit val="2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2985"/>
          <c:w val="0.2465"/>
          <c:h val="0.17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17125"/>
          <c:w val="0.9717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Temperature!$A$3</c:f>
              <c:strCache>
                <c:ptCount val="1"/>
                <c:pt idx="0">
                  <c:v>Chatfield In-Reservoir Near Dam - Bottom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Temperature!$B$2:$T$2</c:f>
              <c:strCache/>
            </c:strRef>
          </c:cat>
          <c:val>
            <c:numRef>
              <c:f>Temperature!$B$3:$T$3</c:f>
              <c:numCache/>
            </c:numRef>
          </c:val>
          <c:smooth val="0"/>
        </c:ser>
        <c:ser>
          <c:idx val="1"/>
          <c:order val="1"/>
          <c:tx>
            <c:strRef>
              <c:f>Temperature!$A$4</c:f>
              <c:strCache>
                <c:ptCount val="1"/>
                <c:pt idx="0">
                  <c:v>Chatfield In-Reservoir Near Dam - Mid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Temperature!$B$2:$T$2</c:f>
              <c:strCache/>
            </c:strRef>
          </c:cat>
          <c:val>
            <c:numRef>
              <c:f>Temperature!$B$4:$T$4</c:f>
              <c:numCache/>
            </c:numRef>
          </c:val>
          <c:smooth val="0"/>
        </c:ser>
        <c:ser>
          <c:idx val="2"/>
          <c:order val="2"/>
          <c:tx>
            <c:strRef>
              <c:f>Temperature!$A$5</c:f>
              <c:strCache>
                <c:ptCount val="1"/>
                <c:pt idx="0">
                  <c:v>Chatfield In-Reservoir Near Dam - Top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Temperature!$B$2:$T$2</c:f>
              <c:strCache/>
            </c:strRef>
          </c:cat>
          <c:val>
            <c:numRef>
              <c:f>Temperature!$B$5:$T$5</c:f>
              <c:numCache/>
            </c:numRef>
          </c:val>
          <c:smooth val="0"/>
        </c:ser>
        <c:ser>
          <c:idx val="4"/>
          <c:order val="3"/>
          <c:tx>
            <c:strRef>
              <c:f>Temperature!$A$7</c:f>
              <c:strCache>
                <c:ptCount val="1"/>
                <c:pt idx="0">
                  <c:v>Massey Draw below C-470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Temperature!$B$2:$T$2</c:f>
              <c:strCache/>
            </c:strRef>
          </c:cat>
          <c:val>
            <c:numRef>
              <c:f>Temperature!$B$7:$T$7</c:f>
              <c:numCache/>
            </c:numRef>
          </c:val>
          <c:smooth val="0"/>
        </c:ser>
        <c:ser>
          <c:idx val="5"/>
          <c:order val="4"/>
          <c:tx>
            <c:strRef>
              <c:f>Temperature!$A$8</c:f>
              <c:strCache>
                <c:ptCount val="1"/>
                <c:pt idx="0">
                  <c:v>Outfall from Chatfield Res., 06709601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Temperature!$B$2:$T$2</c:f>
              <c:strCache/>
            </c:strRef>
          </c:cat>
          <c:val>
            <c:numRef>
              <c:f>Temperature!$B$8:$T$8</c:f>
              <c:numCache/>
            </c:numRef>
          </c:val>
          <c:smooth val="0"/>
        </c:ser>
        <c:ser>
          <c:idx val="6"/>
          <c:order val="5"/>
          <c:tx>
            <c:strRef>
              <c:f>Temperature!$A$9</c:f>
              <c:strCache>
                <c:ptCount val="1"/>
                <c:pt idx="0">
                  <c:v>Plum Creek at Titan Road, 06709530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Temperature!$B$2:$T$2</c:f>
              <c:strCache/>
            </c:strRef>
          </c:cat>
          <c:val>
            <c:numRef>
              <c:f>Temperature!$B$9:$T$9</c:f>
              <c:numCache/>
            </c:numRef>
          </c:val>
          <c:smooth val="0"/>
        </c:ser>
        <c:marker val="1"/>
        <c:axId val="47127001"/>
        <c:axId val="21489826"/>
      </c:lineChart>
      <c:dateAx>
        <c:axId val="47127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89826"/>
        <c:crosses val="autoZero"/>
        <c:auto val="0"/>
        <c:noMultiLvlLbl val="0"/>
      </c:dateAx>
      <c:valAx>
        <c:axId val="214898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2700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25"/>
          <c:y val="0.04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2005 Chatfield Reservoir
Total Phosphorus Loading [Pounds/Month]</a:t>
            </a:r>
          </a:p>
        </c:rich>
      </c:tx>
      <c:layout>
        <c:manualLayout>
          <c:xMode val="factor"/>
          <c:yMode val="factor"/>
          <c:x val="0.03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8775"/>
          <c:w val="0.857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v>South Platte River</c:v>
          </c:tx>
          <c:spPr>
            <a:solidFill>
              <a:srgbClr val="CC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 Loading'!$A$39:$A$50</c:f>
              <c:strCache/>
            </c:strRef>
          </c:cat>
          <c:val>
            <c:numRef>
              <c:f>'2005 Loading'!$B$39:$B$50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Plum Creek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'2005 Loading'!$A$39:$A$50</c:f>
              <c:strCache/>
            </c:strRef>
          </c:cat>
          <c:val>
            <c:numRef>
              <c:f>'2005 Loading'!$C$39:$C$50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6432373"/>
        <c:axId val="13673630"/>
      </c:barChart>
      <c:catAx>
        <c:axId val="1643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673630"/>
        <c:crosses val="autoZero"/>
        <c:auto val="1"/>
        <c:lblOffset val="100"/>
        <c:noMultiLvlLbl val="0"/>
      </c:catAx>
      <c:valAx>
        <c:axId val="13673630"/>
        <c:scaling>
          <c:orientation val="minMax"/>
          <c:max val="9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Total Phosphorus (Pounds/month)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32373"/>
        <c:crossesAt val="1"/>
        <c:crossBetween val="between"/>
        <c:dispUnits/>
        <c:majorUnit val="1000"/>
        <c:minorUnit val="100"/>
      </c:valAx>
      <c:spPr>
        <a:noFill/>
      </c:spPr>
    </c:plotArea>
    <c:legend>
      <c:legendPos val="r"/>
      <c:layout>
        <c:manualLayout>
          <c:xMode val="edge"/>
          <c:yMode val="edge"/>
          <c:x val="0.64725"/>
          <c:y val="0.32025"/>
          <c:w val="0.271"/>
          <c:h val="0.15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2005 Chatfield Reservoir 
Total Suspended Solids Loading [Pounds/Month]</a:t>
            </a:r>
          </a:p>
        </c:rich>
      </c:tx>
      <c:layout>
        <c:manualLayout>
          <c:xMode val="factor"/>
          <c:yMode val="factor"/>
          <c:x val="0.077"/>
          <c:y val="0.05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215"/>
          <c:w val="0.9345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'2005 Loading'!$B$74</c:f>
              <c:strCache>
                <c:ptCount val="1"/>
                <c:pt idx="0">
                  <c:v>South Platte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 Loading'!$A$76:$A$87</c:f>
              <c:strCache/>
            </c:strRef>
          </c:cat>
          <c:val>
            <c:numRef>
              <c:f>'2005 Loading'!$B$76:$B$87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'2005 Loading'!$C$74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'2005 Loading'!$A$76:$A$87</c:f>
              <c:strCache/>
            </c:strRef>
          </c:cat>
          <c:val>
            <c:numRef>
              <c:f>'2005 Loading'!$C$76:$C$87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5953807"/>
        <c:axId val="33822216"/>
      </c:barChart>
      <c:catAx>
        <c:axId val="5595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3822216"/>
        <c:crosses val="autoZero"/>
        <c:auto val="1"/>
        <c:lblOffset val="100"/>
        <c:noMultiLvlLbl val="0"/>
      </c:catAx>
      <c:valAx>
        <c:axId val="33822216"/>
        <c:scaling>
          <c:orientation val="minMax"/>
          <c:max val="4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Suspended Solids (Pounds/Month)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53807"/>
        <c:crossesAt val="1"/>
        <c:crossBetween val="between"/>
        <c:dispUnits/>
        <c:majorUnit val="500000"/>
        <c:minorUnit val="30000"/>
      </c:valAx>
      <c:spPr>
        <a:noFill/>
      </c:spPr>
    </c:plotArea>
    <c:legend>
      <c:legendPos val="r"/>
      <c:layout>
        <c:manualLayout>
          <c:xMode val="edge"/>
          <c:yMode val="edge"/>
          <c:x val="0.6995"/>
          <c:y val="0.417"/>
          <c:w val="0.22925"/>
          <c:h val="0.16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2005 Chatfield Resrvoir 
Total Suspended Sediments 
[4 Million Pounds/Year in 2004: 
13.8 Million Pounds/Year in 2005]</a:t>
            </a:r>
          </a:p>
        </c:rich>
      </c:tx>
      <c:layout>
        <c:manualLayout>
          <c:xMode val="factor"/>
          <c:yMode val="factor"/>
          <c:x val="-0.0055"/>
          <c:y val="-0.00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1"/>
          <c:y val="0.2875"/>
          <c:w val="0.89775"/>
          <c:h val="0.522"/>
        </c:manualLayout>
      </c:layout>
      <c:pie3DChart>
        <c:varyColors val="1"/>
        <c:ser>
          <c:idx val="0"/>
          <c:order val="0"/>
          <c:tx>
            <c:strRef>
              <c:f>'2005 Loading'!$A$74</c:f>
              <c:strCache>
                <c:ptCount val="1"/>
                <c:pt idx="0">
                  <c:v>TSS</c:v>
                </c:pt>
              </c:strCache>
            </c:strRef>
          </c:tx>
          <c:spPr>
            <a:solidFill>
              <a:srgbClr val="CCFFCC"/>
            </a:solidFill>
          </c:spPr>
          <c:explosion val="5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3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'2005 Loading'!$B$74:$C$74</c:f>
              <c:strCache/>
            </c:strRef>
          </c:cat>
          <c:val>
            <c:numRef>
              <c:f>'2005 Loading'!$B$88:$C$88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2005 Chatfield Reservoir
 Total Nitrate Loading [101,000 Pounds/Year]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25"/>
          <c:y val="0.24875"/>
          <c:w val="0.714"/>
          <c:h val="0.58125"/>
        </c:manualLayout>
      </c:layout>
      <c:pie3DChart>
        <c:varyColors val="1"/>
        <c:ser>
          <c:idx val="0"/>
          <c:order val="0"/>
          <c:tx>
            <c:strRef>
              <c:f>'2005 Loading'!$A$1</c:f>
              <c:strCache>
                <c:ptCount val="1"/>
                <c:pt idx="0">
                  <c:v>2005 Nitrate Loadings</c:v>
                </c:pt>
              </c:strCache>
            </c:strRef>
          </c:tx>
          <c:spPr>
            <a:solidFill>
              <a:srgbClr val="CCFF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explosion val="6"/>
            <c:spPr>
              <a:solidFill>
                <a:srgbClr val="FFFFFF"/>
              </a:solidFill>
            </c:spPr>
          </c:dPt>
          <c:dPt>
            <c:idx val="1"/>
            <c:explosion val="16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'2005 Loading'!$B$2:$C$2</c:f>
              <c:strCache/>
            </c:strRef>
          </c:cat>
          <c:val>
            <c:numRef>
              <c:f>'2005 Loading'!$B$15:$C$15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</cdr:x>
      <cdr:y>0.23525</cdr:y>
    </cdr:from>
    <cdr:to>
      <cdr:x>0.488</cdr:x>
      <cdr:y>0.50975</cdr:y>
    </cdr:to>
    <cdr:sp>
      <cdr:nvSpPr>
        <cdr:cNvPr id="1" name="Line 1"/>
        <cdr:cNvSpPr>
          <a:spLocks/>
        </cdr:cNvSpPr>
      </cdr:nvSpPr>
      <cdr:spPr>
        <a:xfrm>
          <a:off x="2619375" y="476250"/>
          <a:ext cx="0" cy="5524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diamond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</cdr:x>
      <cdr:y>0.7935</cdr:y>
    </cdr:from>
    <cdr:to>
      <cdr:x>0.77175</cdr:x>
      <cdr:y>0.858</cdr:y>
    </cdr:to>
    <cdr:sp>
      <cdr:nvSpPr>
        <cdr:cNvPr id="1" name="TextBox 1"/>
        <cdr:cNvSpPr txBox="1">
          <a:spLocks noChangeArrowheads="1"/>
        </cdr:cNvSpPr>
      </cdr:nvSpPr>
      <cdr:spPr>
        <a:xfrm>
          <a:off x="3457575" y="2886075"/>
          <a:ext cx="1076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Clearer Water</a:t>
          </a:r>
        </a:p>
      </cdr:txBody>
    </cdr:sp>
  </cdr:relSizeAnchor>
  <cdr:relSizeAnchor xmlns:cdr="http://schemas.openxmlformats.org/drawingml/2006/chartDrawing">
    <cdr:from>
      <cdr:x>0.65675</cdr:x>
      <cdr:y>0.5955</cdr:y>
    </cdr:from>
    <cdr:to>
      <cdr:x>0.65675</cdr:x>
      <cdr:y>0.7695</cdr:y>
    </cdr:to>
    <cdr:sp>
      <cdr:nvSpPr>
        <cdr:cNvPr id="2" name="Line 2"/>
        <cdr:cNvSpPr>
          <a:spLocks/>
        </cdr:cNvSpPr>
      </cdr:nvSpPr>
      <cdr:spPr>
        <a:xfrm>
          <a:off x="3857625" y="21621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0.12675</cdr:x>
      <cdr:y>0.46125</cdr:y>
    </cdr:from>
    <cdr:to>
      <cdr:x>0.96425</cdr:x>
      <cdr:y>0.467</cdr:y>
    </cdr:to>
    <cdr:sp>
      <cdr:nvSpPr>
        <cdr:cNvPr id="3" name="Line 3"/>
        <cdr:cNvSpPr>
          <a:spLocks/>
        </cdr:cNvSpPr>
      </cdr:nvSpPr>
      <cdr:spPr>
        <a:xfrm flipV="1">
          <a:off x="742950" y="1676400"/>
          <a:ext cx="4924425" cy="19050"/>
        </a:xfrm>
        <a:prstGeom prst="line">
          <a:avLst/>
        </a:prstGeom>
        <a:noFill/>
        <a:ln w="76200" cmpd="sng">
          <a:solidFill>
            <a:srgbClr val="C0C0C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2</xdr:row>
      <xdr:rowOff>142875</xdr:rowOff>
    </xdr:from>
    <xdr:to>
      <xdr:col>13</xdr:col>
      <xdr:colOff>104775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505075" y="466725"/>
        <a:ext cx="58769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9</xdr:col>
      <xdr:colOff>0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47625" y="161925"/>
        <a:ext cx="52959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1</xdr:row>
      <xdr:rowOff>0</xdr:rowOff>
    </xdr:from>
    <xdr:to>
      <xdr:col>17</xdr:col>
      <xdr:colOff>571500</xdr:colOff>
      <xdr:row>15</xdr:row>
      <xdr:rowOff>28575</xdr:rowOff>
    </xdr:to>
    <xdr:graphicFrame>
      <xdr:nvGraphicFramePr>
        <xdr:cNvPr id="2" name="Chart 2"/>
        <xdr:cNvGraphicFramePr/>
      </xdr:nvGraphicFramePr>
      <xdr:xfrm>
        <a:off x="6543675" y="161925"/>
        <a:ext cx="444817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16</xdr:row>
      <xdr:rowOff>133350</xdr:rowOff>
    </xdr:from>
    <xdr:to>
      <xdr:col>8</xdr:col>
      <xdr:colOff>723900</xdr:colOff>
      <xdr:row>31</xdr:row>
      <xdr:rowOff>38100</xdr:rowOff>
    </xdr:to>
    <xdr:graphicFrame>
      <xdr:nvGraphicFramePr>
        <xdr:cNvPr id="3" name="Chart 3"/>
        <xdr:cNvGraphicFramePr/>
      </xdr:nvGraphicFramePr>
      <xdr:xfrm>
        <a:off x="38100" y="2724150"/>
        <a:ext cx="5305425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19050</xdr:colOff>
      <xdr:row>16</xdr:row>
      <xdr:rowOff>95250</xdr:rowOff>
    </xdr:from>
    <xdr:to>
      <xdr:col>18</xdr:col>
      <xdr:colOff>9525</xdr:colOff>
      <xdr:row>31</xdr:row>
      <xdr:rowOff>9525</xdr:rowOff>
    </xdr:to>
    <xdr:graphicFrame>
      <xdr:nvGraphicFramePr>
        <xdr:cNvPr id="4" name="Chart 4"/>
        <xdr:cNvGraphicFramePr/>
      </xdr:nvGraphicFramePr>
      <xdr:xfrm>
        <a:off x="6543675" y="2686050"/>
        <a:ext cx="4648200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33</xdr:row>
      <xdr:rowOff>133350</xdr:rowOff>
    </xdr:from>
    <xdr:to>
      <xdr:col>9</xdr:col>
      <xdr:colOff>695325</xdr:colOff>
      <xdr:row>49</xdr:row>
      <xdr:rowOff>9525</xdr:rowOff>
    </xdr:to>
    <xdr:graphicFrame>
      <xdr:nvGraphicFramePr>
        <xdr:cNvPr id="5" name="Chart 5"/>
        <xdr:cNvGraphicFramePr/>
      </xdr:nvGraphicFramePr>
      <xdr:xfrm>
        <a:off x="9525" y="5476875"/>
        <a:ext cx="6029325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32</xdr:row>
      <xdr:rowOff>9525</xdr:rowOff>
    </xdr:from>
    <xdr:to>
      <xdr:col>17</xdr:col>
      <xdr:colOff>752475</xdr:colOff>
      <xdr:row>46</xdr:row>
      <xdr:rowOff>85725</xdr:rowOff>
    </xdr:to>
    <xdr:graphicFrame>
      <xdr:nvGraphicFramePr>
        <xdr:cNvPr id="6" name="Chart 6"/>
        <xdr:cNvGraphicFramePr/>
      </xdr:nvGraphicFramePr>
      <xdr:xfrm>
        <a:off x="6524625" y="5191125"/>
        <a:ext cx="4648200" cy="2343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28575</xdr:rowOff>
    </xdr:from>
    <xdr:to>
      <xdr:col>14</xdr:col>
      <xdr:colOff>85725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57150" y="2324100"/>
        <a:ext cx="756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14</xdr:row>
      <xdr:rowOff>0</xdr:rowOff>
    </xdr:from>
    <xdr:to>
      <xdr:col>14</xdr:col>
      <xdr:colOff>209550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190500" y="2066925"/>
        <a:ext cx="74676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16</xdr:row>
      <xdr:rowOff>152400</xdr:rowOff>
    </xdr:from>
    <xdr:to>
      <xdr:col>13</xdr:col>
      <xdr:colOff>504825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19075" y="2457450"/>
        <a:ext cx="6629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14</xdr:row>
      <xdr:rowOff>19050</xdr:rowOff>
    </xdr:from>
    <xdr:to>
      <xdr:col>14</xdr:col>
      <xdr:colOff>142875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276225" y="2019300"/>
        <a:ext cx="73152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0.12775</cdr:y>
    </cdr:from>
    <cdr:to>
      <cdr:x>1</cdr:x>
      <cdr:y>0.12775</cdr:y>
    </cdr:to>
    <cdr:sp>
      <cdr:nvSpPr>
        <cdr:cNvPr id="1" name="Line 1"/>
        <cdr:cNvSpPr>
          <a:spLocks/>
        </cdr:cNvSpPr>
      </cdr:nvSpPr>
      <cdr:spPr>
        <a:xfrm flipV="1">
          <a:off x="323850" y="304800"/>
          <a:ext cx="6457950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7</xdr:row>
      <xdr:rowOff>114300</xdr:rowOff>
    </xdr:from>
    <xdr:to>
      <xdr:col>12</xdr:col>
      <xdr:colOff>85725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190500" y="1276350"/>
        <a:ext cx="67818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19</xdr:row>
      <xdr:rowOff>19050</xdr:rowOff>
    </xdr:from>
    <xdr:to>
      <xdr:col>19</xdr:col>
      <xdr:colOff>581025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676275" y="3076575"/>
        <a:ext cx="83439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142875</xdr:rowOff>
    </xdr:from>
    <xdr:to>
      <xdr:col>6</xdr:col>
      <xdr:colOff>1009650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66675" y="3581400"/>
        <a:ext cx="59055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142875</xdr:rowOff>
    </xdr:from>
    <xdr:to>
      <xdr:col>17</xdr:col>
      <xdr:colOff>238125</xdr:colOff>
      <xdr:row>16</xdr:row>
      <xdr:rowOff>57150</xdr:rowOff>
    </xdr:to>
    <xdr:graphicFrame>
      <xdr:nvGraphicFramePr>
        <xdr:cNvPr id="2" name="Chart 2"/>
        <xdr:cNvGraphicFramePr/>
      </xdr:nvGraphicFramePr>
      <xdr:xfrm>
        <a:off x="6981825" y="666750"/>
        <a:ext cx="536257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361950</xdr:colOff>
      <xdr:row>17</xdr:row>
      <xdr:rowOff>114300</xdr:rowOff>
    </xdr:from>
    <xdr:to>
      <xdr:col>17</xdr:col>
      <xdr:colOff>228600</xdr:colOff>
      <xdr:row>28</xdr:row>
      <xdr:rowOff>76200</xdr:rowOff>
    </xdr:to>
    <xdr:graphicFrame>
      <xdr:nvGraphicFramePr>
        <xdr:cNvPr id="3" name="Chart 3"/>
        <xdr:cNvGraphicFramePr/>
      </xdr:nvGraphicFramePr>
      <xdr:xfrm>
        <a:off x="6981825" y="2905125"/>
        <a:ext cx="5353050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32</xdr:row>
      <xdr:rowOff>0</xdr:rowOff>
    </xdr:from>
    <xdr:to>
      <xdr:col>16</xdr:col>
      <xdr:colOff>495300</xdr:colOff>
      <xdr:row>44</xdr:row>
      <xdr:rowOff>85725</xdr:rowOff>
    </xdr:to>
    <xdr:graphicFrame>
      <xdr:nvGraphicFramePr>
        <xdr:cNvPr id="4" name="Chart 4"/>
        <xdr:cNvGraphicFramePr/>
      </xdr:nvGraphicFramePr>
      <xdr:xfrm>
        <a:off x="6619875" y="5219700"/>
        <a:ext cx="5372100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161925</xdr:colOff>
      <xdr:row>35</xdr:row>
      <xdr:rowOff>47625</xdr:rowOff>
    </xdr:from>
    <xdr:to>
      <xdr:col>12</xdr:col>
      <xdr:colOff>171450</xdr:colOff>
      <xdr:row>38</xdr:row>
      <xdr:rowOff>85725</xdr:rowOff>
    </xdr:to>
    <xdr:sp>
      <xdr:nvSpPr>
        <xdr:cNvPr id="5" name="Line 5"/>
        <xdr:cNvSpPr>
          <a:spLocks/>
        </xdr:cNvSpPr>
      </xdr:nvSpPr>
      <xdr:spPr>
        <a:xfrm>
          <a:off x="9220200" y="5753100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9</xdr:row>
      <xdr:rowOff>95250</xdr:rowOff>
    </xdr:from>
    <xdr:to>
      <xdr:col>17</xdr:col>
      <xdr:colOff>190500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190500" y="1533525"/>
        <a:ext cx="104298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10</xdr:row>
      <xdr:rowOff>85725</xdr:rowOff>
    </xdr:from>
    <xdr:to>
      <xdr:col>11</xdr:col>
      <xdr:colOff>171450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200025" y="1600200"/>
        <a:ext cx="72294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44</xdr:row>
      <xdr:rowOff>19050</xdr:rowOff>
    </xdr:from>
    <xdr:to>
      <xdr:col>9</xdr:col>
      <xdr:colOff>342900</xdr:colOff>
      <xdr:row>62</xdr:row>
      <xdr:rowOff>142875</xdr:rowOff>
    </xdr:to>
    <xdr:graphicFrame>
      <xdr:nvGraphicFramePr>
        <xdr:cNvPr id="2" name="Chart 2"/>
        <xdr:cNvGraphicFramePr/>
      </xdr:nvGraphicFramePr>
      <xdr:xfrm>
        <a:off x="571500" y="6972300"/>
        <a:ext cx="591502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85725</xdr:rowOff>
    </xdr:from>
    <xdr:to>
      <xdr:col>14</xdr:col>
      <xdr:colOff>409575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0" y="3105150"/>
        <a:ext cx="86391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7</xdr:row>
      <xdr:rowOff>47625</xdr:rowOff>
    </xdr:from>
    <xdr:to>
      <xdr:col>11</xdr:col>
      <xdr:colOff>514350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390525" y="1162050"/>
        <a:ext cx="75247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24</xdr:row>
      <xdr:rowOff>9525</xdr:rowOff>
    </xdr:from>
    <xdr:to>
      <xdr:col>14</xdr:col>
      <xdr:colOff>171450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361950" y="3686175"/>
        <a:ext cx="72009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0.61675</cdr:y>
    </cdr:from>
    <cdr:to>
      <cdr:x>0.9895</cdr:x>
      <cdr:y>0.61675</cdr:y>
    </cdr:to>
    <cdr:sp>
      <cdr:nvSpPr>
        <cdr:cNvPr id="1" name="Line 1"/>
        <cdr:cNvSpPr>
          <a:spLocks/>
        </cdr:cNvSpPr>
      </cdr:nvSpPr>
      <cdr:spPr>
        <a:xfrm>
          <a:off x="495300" y="2352675"/>
          <a:ext cx="4848225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1647825</xdr:colOff>
      <xdr:row>20</xdr:row>
      <xdr:rowOff>104775</xdr:rowOff>
    </xdr:from>
    <xdr:to>
      <xdr:col>14</xdr:col>
      <xdr:colOff>352425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647825" y="3209925"/>
        <a:ext cx="54102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15</xdr:row>
      <xdr:rowOff>47625</xdr:rowOff>
    </xdr:from>
    <xdr:to>
      <xdr:col>15</xdr:col>
      <xdr:colOff>285750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142875" y="2457450"/>
        <a:ext cx="79629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20</xdr:row>
      <xdr:rowOff>28575</xdr:rowOff>
    </xdr:from>
    <xdr:to>
      <xdr:col>17</xdr:col>
      <xdr:colOff>114300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123825" y="3171825"/>
        <a:ext cx="86106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31</xdr:row>
      <xdr:rowOff>19050</xdr:rowOff>
    </xdr:from>
    <xdr:to>
      <xdr:col>11</xdr:col>
      <xdr:colOff>28575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114300" y="4733925"/>
        <a:ext cx="64484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15</xdr:row>
      <xdr:rowOff>114300</xdr:rowOff>
    </xdr:from>
    <xdr:to>
      <xdr:col>6</xdr:col>
      <xdr:colOff>400050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752475" y="2581275"/>
        <a:ext cx="42576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53</xdr:row>
      <xdr:rowOff>9525</xdr:rowOff>
    </xdr:from>
    <xdr:to>
      <xdr:col>6</xdr:col>
      <xdr:colOff>733425</xdr:colOff>
      <xdr:row>68</xdr:row>
      <xdr:rowOff>114300</xdr:rowOff>
    </xdr:to>
    <xdr:graphicFrame>
      <xdr:nvGraphicFramePr>
        <xdr:cNvPr id="2" name="Chart 2"/>
        <xdr:cNvGraphicFramePr/>
      </xdr:nvGraphicFramePr>
      <xdr:xfrm>
        <a:off x="371475" y="8667750"/>
        <a:ext cx="49720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90</xdr:row>
      <xdr:rowOff>123825</xdr:rowOff>
    </xdr:from>
    <xdr:to>
      <xdr:col>6</xdr:col>
      <xdr:colOff>723900</xdr:colOff>
      <xdr:row>109</xdr:row>
      <xdr:rowOff>57150</xdr:rowOff>
    </xdr:to>
    <xdr:graphicFrame>
      <xdr:nvGraphicFramePr>
        <xdr:cNvPr id="3" name="Chart 3"/>
        <xdr:cNvGraphicFramePr/>
      </xdr:nvGraphicFramePr>
      <xdr:xfrm>
        <a:off x="304800" y="14744700"/>
        <a:ext cx="502920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133350</xdr:colOff>
      <xdr:row>89</xdr:row>
      <xdr:rowOff>76200</xdr:rowOff>
    </xdr:from>
    <xdr:to>
      <xdr:col>14</xdr:col>
      <xdr:colOff>38100</xdr:colOff>
      <xdr:row>108</xdr:row>
      <xdr:rowOff>133350</xdr:rowOff>
    </xdr:to>
    <xdr:graphicFrame>
      <xdr:nvGraphicFramePr>
        <xdr:cNvPr id="4" name="Chart 4"/>
        <xdr:cNvGraphicFramePr/>
      </xdr:nvGraphicFramePr>
      <xdr:xfrm>
        <a:off x="5505450" y="14535150"/>
        <a:ext cx="4562475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76200</xdr:colOff>
      <xdr:row>16</xdr:row>
      <xdr:rowOff>0</xdr:rowOff>
    </xdr:from>
    <xdr:to>
      <xdr:col>13</xdr:col>
      <xdr:colOff>161925</xdr:colOff>
      <xdr:row>28</xdr:row>
      <xdr:rowOff>95250</xdr:rowOff>
    </xdr:to>
    <xdr:graphicFrame>
      <xdr:nvGraphicFramePr>
        <xdr:cNvPr id="5" name="Chart 5"/>
        <xdr:cNvGraphicFramePr/>
      </xdr:nvGraphicFramePr>
      <xdr:xfrm>
        <a:off x="6057900" y="2628900"/>
        <a:ext cx="352425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257175</xdr:colOff>
      <xdr:row>53</xdr:row>
      <xdr:rowOff>47625</xdr:rowOff>
    </xdr:from>
    <xdr:to>
      <xdr:col>14</xdr:col>
      <xdr:colOff>180975</xdr:colOff>
      <xdr:row>70</xdr:row>
      <xdr:rowOff>57150</xdr:rowOff>
    </xdr:to>
    <xdr:graphicFrame>
      <xdr:nvGraphicFramePr>
        <xdr:cNvPr id="6" name="Chart 6"/>
        <xdr:cNvGraphicFramePr/>
      </xdr:nvGraphicFramePr>
      <xdr:xfrm>
        <a:off x="5629275" y="8705850"/>
        <a:ext cx="45815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28</xdr:row>
      <xdr:rowOff>9525</xdr:rowOff>
    </xdr:from>
    <xdr:to>
      <xdr:col>18</xdr:col>
      <xdr:colOff>38100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161925" y="4419600"/>
        <a:ext cx="87915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6</xdr:row>
      <xdr:rowOff>133350</xdr:rowOff>
    </xdr:from>
    <xdr:to>
      <xdr:col>14</xdr:col>
      <xdr:colOff>180975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438150" y="1009650"/>
        <a:ext cx="71247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1247775</xdr:colOff>
      <xdr:row>16</xdr:row>
      <xdr:rowOff>142875</xdr:rowOff>
    </xdr:from>
    <xdr:to>
      <xdr:col>13</xdr:col>
      <xdr:colOff>285750</xdr:colOff>
      <xdr:row>16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247775" y="2619375"/>
          <a:ext cx="6029325" cy="9525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15</xdr:row>
      <xdr:rowOff>114300</xdr:rowOff>
    </xdr:from>
    <xdr:to>
      <xdr:col>12</xdr:col>
      <xdr:colOff>228600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371475" y="2524125"/>
        <a:ext cx="73723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</cdr:x>
      <cdr:y>0.64575</cdr:y>
    </cdr:from>
    <cdr:to>
      <cdr:x>0.528</cdr:x>
      <cdr:y>0.64575</cdr:y>
    </cdr:to>
    <cdr:sp>
      <cdr:nvSpPr>
        <cdr:cNvPr id="1" name="TextBox 1"/>
        <cdr:cNvSpPr txBox="1">
          <a:spLocks noChangeArrowheads="1"/>
        </cdr:cNvSpPr>
      </cdr:nvSpPr>
      <cdr:spPr>
        <a:xfrm flipH="1">
          <a:off x="3667125" y="2533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1999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32</xdr:row>
      <xdr:rowOff>0</xdr:rowOff>
    </xdr:from>
    <xdr:to>
      <xdr:col>8</xdr:col>
      <xdr:colOff>438150</xdr:colOff>
      <xdr:row>56</xdr:row>
      <xdr:rowOff>38100</xdr:rowOff>
    </xdr:to>
    <xdr:graphicFrame>
      <xdr:nvGraphicFramePr>
        <xdr:cNvPr id="1" name="Chart 1"/>
        <xdr:cNvGraphicFramePr/>
      </xdr:nvGraphicFramePr>
      <xdr:xfrm>
        <a:off x="1495425" y="5181600"/>
        <a:ext cx="69532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59</xdr:row>
      <xdr:rowOff>85725</xdr:rowOff>
    </xdr:from>
    <xdr:to>
      <xdr:col>12</xdr:col>
      <xdr:colOff>28575</xdr:colOff>
      <xdr:row>72</xdr:row>
      <xdr:rowOff>38100</xdr:rowOff>
    </xdr:to>
    <xdr:graphicFrame>
      <xdr:nvGraphicFramePr>
        <xdr:cNvPr id="2" name="Chart 2"/>
        <xdr:cNvGraphicFramePr/>
      </xdr:nvGraphicFramePr>
      <xdr:xfrm>
        <a:off x="3905250" y="9801225"/>
        <a:ext cx="657225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17</xdr:row>
      <xdr:rowOff>0</xdr:rowOff>
    </xdr:from>
    <xdr:to>
      <xdr:col>7</xdr:col>
      <xdr:colOff>123825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314325" y="3086100"/>
        <a:ext cx="41814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352425</xdr:colOff>
      <xdr:row>17</xdr:row>
      <xdr:rowOff>0</xdr:rowOff>
    </xdr:from>
    <xdr:to>
      <xdr:col>13</xdr:col>
      <xdr:colOff>476250</xdr:colOff>
      <xdr:row>33</xdr:row>
      <xdr:rowOff>152400</xdr:rowOff>
    </xdr:to>
    <xdr:graphicFrame>
      <xdr:nvGraphicFramePr>
        <xdr:cNvPr id="2" name="Chart 2"/>
        <xdr:cNvGraphicFramePr/>
      </xdr:nvGraphicFramePr>
      <xdr:xfrm>
        <a:off x="4724400" y="3086100"/>
        <a:ext cx="3676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9525</xdr:colOff>
      <xdr:row>17</xdr:row>
      <xdr:rowOff>28575</xdr:rowOff>
    </xdr:from>
    <xdr:to>
      <xdr:col>19</xdr:col>
      <xdr:colOff>419100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8543925" y="3114675"/>
        <a:ext cx="34575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0.40075</cdr:x>
      <cdr:y>0.831</cdr:y>
    </cdr:from>
    <cdr:to>
      <cdr:x>0.575</cdr:x>
      <cdr:y>0.941</cdr:y>
    </cdr:to>
    <cdr:sp>
      <cdr:nvSpPr>
        <cdr:cNvPr id="1" name="TextBox 1"/>
        <cdr:cNvSpPr txBox="1">
          <a:spLocks noChangeArrowheads="1"/>
        </cdr:cNvSpPr>
      </cdr:nvSpPr>
      <cdr:spPr>
        <a:xfrm>
          <a:off x="1857375" y="1866900"/>
          <a:ext cx="809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Clear Water</a:t>
          </a:r>
        </a:p>
      </cdr:txBody>
    </cdr:sp>
  </cdr:relSizeAnchor>
  <cdr:relSizeAnchor xmlns:cdr="http://schemas.openxmlformats.org/drawingml/2006/chartDrawing">
    <cdr:from>
      <cdr:x>0.51475</cdr:x>
      <cdr:y>0.154</cdr:y>
    </cdr:from>
    <cdr:to>
      <cdr:x>0.51475</cdr:x>
      <cdr:y>0.541</cdr:y>
    </cdr:to>
    <cdr:sp>
      <cdr:nvSpPr>
        <cdr:cNvPr id="2" name="Line 2"/>
        <cdr:cNvSpPr>
          <a:spLocks/>
        </cdr:cNvSpPr>
      </cdr:nvSpPr>
      <cdr:spPr>
        <a:xfrm flipH="1">
          <a:off x="2390775" y="342900"/>
          <a:ext cx="0" cy="876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0.683</cdr:x>
      <cdr:y>0.154</cdr:y>
    </cdr:from>
    <cdr:to>
      <cdr:x>0.873</cdr:x>
      <cdr:y>0.264</cdr:y>
    </cdr:to>
    <cdr:sp>
      <cdr:nvSpPr>
        <cdr:cNvPr id="3" name="TextBox 3"/>
        <cdr:cNvSpPr txBox="1">
          <a:spLocks noChangeArrowheads="1"/>
        </cdr:cNvSpPr>
      </cdr:nvSpPr>
      <cdr:spPr>
        <a:xfrm>
          <a:off x="3171825" y="342900"/>
          <a:ext cx="885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Murky Water</a:t>
          </a:r>
        </a:p>
      </cdr:txBody>
    </cdr:sp>
  </cdr:relSizeAnchor>
  <cdr:relSizeAnchor xmlns:cdr="http://schemas.openxmlformats.org/drawingml/2006/chartDrawing">
    <cdr:from>
      <cdr:x>0.73475</cdr:x>
      <cdr:y>0.6365</cdr:y>
    </cdr:from>
    <cdr:to>
      <cdr:x>0.73475</cdr:x>
      <cdr:y>0.928</cdr:y>
    </cdr:to>
    <cdr:sp>
      <cdr:nvSpPr>
        <cdr:cNvPr id="4" name="Line 4"/>
        <cdr:cNvSpPr>
          <a:spLocks/>
        </cdr:cNvSpPr>
      </cdr:nvSpPr>
      <cdr:spPr>
        <a:xfrm flipV="1">
          <a:off x="3409950" y="1428750"/>
          <a:ext cx="0" cy="657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21</xdr:row>
      <xdr:rowOff>9525</xdr:rowOff>
    </xdr:from>
    <xdr:to>
      <xdr:col>13</xdr:col>
      <xdr:colOff>266700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3371850" y="3781425"/>
        <a:ext cx="53625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0</xdr:row>
      <xdr:rowOff>142875</xdr:rowOff>
    </xdr:from>
    <xdr:to>
      <xdr:col>13</xdr:col>
      <xdr:colOff>276225</xdr:colOff>
      <xdr:row>18</xdr:row>
      <xdr:rowOff>466725</xdr:rowOff>
    </xdr:to>
    <xdr:graphicFrame>
      <xdr:nvGraphicFramePr>
        <xdr:cNvPr id="2" name="Chart 2"/>
        <xdr:cNvGraphicFramePr/>
      </xdr:nvGraphicFramePr>
      <xdr:xfrm>
        <a:off x="3390900" y="142875"/>
        <a:ext cx="535305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590550</xdr:colOff>
      <xdr:row>16</xdr:row>
      <xdr:rowOff>0</xdr:rowOff>
    </xdr:from>
    <xdr:to>
      <xdr:col>21</xdr:col>
      <xdr:colOff>295275</xdr:colOff>
      <xdr:row>34</xdr:row>
      <xdr:rowOff>95250</xdr:rowOff>
    </xdr:to>
    <xdr:graphicFrame>
      <xdr:nvGraphicFramePr>
        <xdr:cNvPr id="3" name="Chart 3"/>
        <xdr:cNvGraphicFramePr/>
      </xdr:nvGraphicFramePr>
      <xdr:xfrm>
        <a:off x="9058275" y="2590800"/>
        <a:ext cx="461962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590550</xdr:colOff>
      <xdr:row>1</xdr:row>
      <xdr:rowOff>19050</xdr:rowOff>
    </xdr:from>
    <xdr:to>
      <xdr:col>21</xdr:col>
      <xdr:colOff>323850</xdr:colOff>
      <xdr:row>15</xdr:row>
      <xdr:rowOff>9525</xdr:rowOff>
    </xdr:to>
    <xdr:graphicFrame>
      <xdr:nvGraphicFramePr>
        <xdr:cNvPr id="4" name="Chart 4"/>
        <xdr:cNvGraphicFramePr/>
      </xdr:nvGraphicFramePr>
      <xdr:xfrm>
        <a:off x="9058275" y="180975"/>
        <a:ext cx="4648200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323850</xdr:colOff>
      <xdr:row>36</xdr:row>
      <xdr:rowOff>28575</xdr:rowOff>
    </xdr:from>
    <xdr:to>
      <xdr:col>16</xdr:col>
      <xdr:colOff>19050</xdr:colOff>
      <xdr:row>47</xdr:row>
      <xdr:rowOff>85725</xdr:rowOff>
    </xdr:to>
    <xdr:graphicFrame>
      <xdr:nvGraphicFramePr>
        <xdr:cNvPr id="5" name="Chart 5"/>
        <xdr:cNvGraphicFramePr/>
      </xdr:nvGraphicFramePr>
      <xdr:xfrm>
        <a:off x="3762375" y="6229350"/>
        <a:ext cx="6591300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285750</xdr:colOff>
      <xdr:row>48</xdr:row>
      <xdr:rowOff>133350</xdr:rowOff>
    </xdr:from>
    <xdr:to>
      <xdr:col>15</xdr:col>
      <xdr:colOff>600075</xdr:colOff>
      <xdr:row>63</xdr:row>
      <xdr:rowOff>0</xdr:rowOff>
    </xdr:to>
    <xdr:graphicFrame>
      <xdr:nvGraphicFramePr>
        <xdr:cNvPr id="6" name="Chart 6"/>
        <xdr:cNvGraphicFramePr/>
      </xdr:nvGraphicFramePr>
      <xdr:xfrm>
        <a:off x="3724275" y="8601075"/>
        <a:ext cx="6600825" cy="2295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476250</xdr:colOff>
      <xdr:row>33</xdr:row>
      <xdr:rowOff>85725</xdr:rowOff>
    </xdr:from>
    <xdr:to>
      <xdr:col>30</xdr:col>
      <xdr:colOff>38100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12068175" y="5429250"/>
        <a:ext cx="62674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51</xdr:row>
      <xdr:rowOff>19050</xdr:rowOff>
    </xdr:from>
    <xdr:to>
      <xdr:col>30</xdr:col>
      <xdr:colOff>66675</xdr:colOff>
      <xdr:row>67</xdr:row>
      <xdr:rowOff>76200</xdr:rowOff>
    </xdr:to>
    <xdr:graphicFrame>
      <xdr:nvGraphicFramePr>
        <xdr:cNvPr id="2" name="Chart 2"/>
        <xdr:cNvGraphicFramePr/>
      </xdr:nvGraphicFramePr>
      <xdr:xfrm>
        <a:off x="12201525" y="8277225"/>
        <a:ext cx="61626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285750</xdr:colOff>
      <xdr:row>48</xdr:row>
      <xdr:rowOff>142875</xdr:rowOff>
    </xdr:from>
    <xdr:to>
      <xdr:col>10</xdr:col>
      <xdr:colOff>238125</xdr:colOff>
      <xdr:row>67</xdr:row>
      <xdr:rowOff>66675</xdr:rowOff>
    </xdr:to>
    <xdr:graphicFrame>
      <xdr:nvGraphicFramePr>
        <xdr:cNvPr id="3" name="Chart 3"/>
        <xdr:cNvGraphicFramePr/>
      </xdr:nvGraphicFramePr>
      <xdr:xfrm>
        <a:off x="285750" y="7915275"/>
        <a:ext cx="605790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ssell%20N.%20Clayshult\My%20Documents\Chatfield%20Authority\Data%20and%20Annual%20Report%202003\Annual%20Report%202003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chi Trend"/>
      <sheetName val="Nutrient"/>
      <sheetName val="2003 Flow"/>
      <sheetName val="2003 Walker-carlson"/>
      <sheetName val="Res trends"/>
      <sheetName val="Loading"/>
      <sheetName val="Models"/>
    </sheetNames>
    <sheetDataSet>
      <sheetData sheetId="3">
        <row r="1">
          <cell r="P1" t="str">
            <v>Walker's Index - Annual Averages</v>
          </cell>
        </row>
        <row r="2">
          <cell r="Q2">
            <v>1988</v>
          </cell>
          <cell r="R2">
            <v>1991</v>
          </cell>
          <cell r="S2">
            <v>1992</v>
          </cell>
          <cell r="T2">
            <v>1993</v>
          </cell>
          <cell r="U2">
            <v>1994</v>
          </cell>
          <cell r="V2">
            <v>1995</v>
          </cell>
        </row>
        <row r="3">
          <cell r="P3" t="str">
            <v>Ica</v>
          </cell>
          <cell r="Q3">
            <v>2.011086222015564</v>
          </cell>
          <cell r="R3">
            <v>3.054944133185837</v>
          </cell>
          <cell r="S3">
            <v>2.944965156500338</v>
          </cell>
          <cell r="T3">
            <v>2.186051276738094</v>
          </cell>
          <cell r="U3">
            <v>3.0170044088295307</v>
          </cell>
          <cell r="V3">
            <v>1.6272778305624314</v>
          </cell>
        </row>
        <row r="4">
          <cell r="Q4">
            <v>48.99986332146443</v>
          </cell>
          <cell r="R4">
            <v>64.05229440053976</v>
          </cell>
          <cell r="S4">
            <v>62.46639755673487</v>
          </cell>
          <cell r="T4">
            <v>51.52285941056331</v>
          </cell>
          <cell r="U4">
            <v>63.50520357532183</v>
          </cell>
          <cell r="V4">
            <v>43.46534631671026</v>
          </cell>
        </row>
        <row r="6">
          <cell r="P6" t="str">
            <v>Itp</v>
          </cell>
          <cell r="Q6">
            <v>5.111987788356544</v>
          </cell>
          <cell r="R6">
            <v>5.215804944973573</v>
          </cell>
          <cell r="S6">
            <v>5.089199986966919</v>
          </cell>
          <cell r="T6">
            <v>5.1234281215713775</v>
          </cell>
          <cell r="U6">
            <v>4.466252886801422</v>
          </cell>
          <cell r="V6">
            <v>3.711374531941307</v>
          </cell>
        </row>
        <row r="7">
          <cell r="Q7">
            <v>102.341995522898</v>
          </cell>
          <cell r="R7">
            <v>104.42041499837092</v>
          </cell>
          <cell r="S7">
            <v>101.88578373907771</v>
          </cell>
          <cell r="T7">
            <v>102.57103099385897</v>
          </cell>
          <cell r="U7">
            <v>89.41438279376447</v>
          </cell>
          <cell r="V7">
            <v>74.30171812946497</v>
          </cell>
        </row>
        <row r="9">
          <cell r="P9" t="str">
            <v>Isd</v>
          </cell>
          <cell r="Q9">
            <v>-0.6247698831152083</v>
          </cell>
          <cell r="R9">
            <v>-0.9654035287290765</v>
          </cell>
          <cell r="S9">
            <v>-0.9258601828903059</v>
          </cell>
          <cell r="T9">
            <v>-1.3015390482569433</v>
          </cell>
          <cell r="U9">
            <v>-0.7367663797012618</v>
          </cell>
          <cell r="V9">
            <v>-0.9485822365106786</v>
          </cell>
        </row>
        <row r="10">
          <cell r="Q10">
            <v>63.14197807457804</v>
          </cell>
          <cell r="R10">
            <v>56.51324733093217</v>
          </cell>
          <cell r="S10">
            <v>57.282760840954644</v>
          </cell>
          <cell r="T10">
            <v>49.972050120919874</v>
          </cell>
          <cell r="U10">
            <v>60.96252625101344</v>
          </cell>
          <cell r="V10">
            <v>56.840589677502194</v>
          </cell>
        </row>
        <row r="12">
          <cell r="P12" t="str">
            <v>Iw</v>
          </cell>
          <cell r="Q12">
            <v>71.4946123063135</v>
          </cell>
          <cell r="R12">
            <v>74.99531890994761</v>
          </cell>
          <cell r="S12">
            <v>73.87831404558908</v>
          </cell>
          <cell r="T12">
            <v>68.02198017511405</v>
          </cell>
          <cell r="U12">
            <v>71.29403754003324</v>
          </cell>
          <cell r="V12">
            <v>58.202551374559135</v>
          </cell>
        </row>
        <row r="13">
          <cell r="R13" t="str">
            <v>hyper</v>
          </cell>
          <cell r="S13" t="str">
            <v>hyper</v>
          </cell>
          <cell r="T13" t="str">
            <v>hyper</v>
          </cell>
          <cell r="U13" t="str">
            <v>hyper</v>
          </cell>
          <cell r="V13" t="str">
            <v>eutro</v>
          </cell>
        </row>
        <row r="15">
          <cell r="P15" t="str">
            <v>Walker's Index - Seasonal Averages</v>
          </cell>
        </row>
        <row r="16">
          <cell r="Q16">
            <v>1988</v>
          </cell>
          <cell r="R16">
            <v>1991</v>
          </cell>
          <cell r="S16">
            <v>1992</v>
          </cell>
          <cell r="T16">
            <v>1993</v>
          </cell>
          <cell r="U16">
            <v>1994</v>
          </cell>
          <cell r="V16">
            <v>1995</v>
          </cell>
        </row>
        <row r="17">
          <cell r="P17" t="str">
            <v>Ica</v>
          </cell>
          <cell r="R17">
            <v>1.3837912309017721</v>
          </cell>
          <cell r="S17">
            <v>2.4664031782234406</v>
          </cell>
          <cell r="T17">
            <v>2.667228206581955</v>
          </cell>
          <cell r="U17">
            <v>3.2733640101522705</v>
          </cell>
          <cell r="V17">
            <v>2.3942522815198695</v>
          </cell>
        </row>
        <row r="18">
          <cell r="R18">
            <v>39.95426954960355</v>
          </cell>
          <cell r="S18">
            <v>55.565533829982016</v>
          </cell>
          <cell r="T18">
            <v>58.46143073891179</v>
          </cell>
          <cell r="U18">
            <v>67.20190902639574</v>
          </cell>
          <cell r="V18">
            <v>54.525117899516516</v>
          </cell>
        </row>
        <row r="20">
          <cell r="P20" t="str">
            <v>Itp</v>
          </cell>
          <cell r="R20">
            <v>5.256609563148246</v>
          </cell>
          <cell r="S20">
            <v>5.2021368080740675</v>
          </cell>
          <cell r="T20">
            <v>5.332235584751498</v>
          </cell>
          <cell r="U20">
            <v>4.524719061590464</v>
          </cell>
          <cell r="V20">
            <v>4.067315889834181</v>
          </cell>
        </row>
        <row r="21">
          <cell r="R21">
            <v>105.23732345422789</v>
          </cell>
          <cell r="S21">
            <v>104.14677889764283</v>
          </cell>
          <cell r="T21">
            <v>106.75135640672498</v>
          </cell>
          <cell r="U21">
            <v>90.58487561304109</v>
          </cell>
          <cell r="V21">
            <v>81.42766411448031</v>
          </cell>
        </row>
        <row r="23">
          <cell r="P23" t="str">
            <v>Isd</v>
          </cell>
          <cell r="R23">
            <v>-0.8852504124795058</v>
          </cell>
          <cell r="S23">
            <v>-0.9372638552544341</v>
          </cell>
          <cell r="T23">
            <v>-0.998503205839816</v>
          </cell>
          <cell r="U23">
            <v>-0.6768107612402517</v>
          </cell>
          <cell r="V23">
            <v>-0.31958340121365647</v>
          </cell>
        </row>
        <row r="24">
          <cell r="R24">
            <v>58.073026973148814</v>
          </cell>
          <cell r="S24">
            <v>57.06084537674871</v>
          </cell>
          <cell r="T24">
            <v>55.869127614357176</v>
          </cell>
          <cell r="U24">
            <v>62.1292625862647</v>
          </cell>
          <cell r="V24">
            <v>69.08090701238224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9.xml" /><Relationship Id="rId4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54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3"/>
  <sheetViews>
    <sheetView workbookViewId="0" topLeftCell="A14">
      <selection activeCell="G39" sqref="G39"/>
    </sheetView>
  </sheetViews>
  <sheetFormatPr defaultColWidth="9.140625" defaultRowHeight="12.75"/>
  <cols>
    <col min="1" max="1" width="8.140625" style="14" bestFit="1" customWidth="1"/>
    <col min="2" max="2" width="27.8515625" style="14" bestFit="1" customWidth="1"/>
    <col min="3" max="3" width="12.28125" style="14" bestFit="1" customWidth="1"/>
    <col min="4" max="4" width="13.7109375" style="14" bestFit="1" customWidth="1"/>
    <col min="5" max="5" width="9.7109375" style="14" bestFit="1" customWidth="1"/>
    <col min="6" max="6" width="11.57421875" style="14" bestFit="1" customWidth="1"/>
    <col min="7" max="7" width="29.28125" style="14" bestFit="1" customWidth="1"/>
    <col min="8" max="16384" width="32.140625" style="14" customWidth="1"/>
  </cols>
  <sheetData>
    <row r="1" ht="12" thickBot="1"/>
    <row r="2" spans="1:7" ht="12" thickBot="1">
      <c r="A2" s="24" t="s">
        <v>157</v>
      </c>
      <c r="B2" s="25" t="s">
        <v>158</v>
      </c>
      <c r="C2" s="25" t="s">
        <v>159</v>
      </c>
      <c r="D2" s="25" t="s">
        <v>160</v>
      </c>
      <c r="E2" s="25" t="s">
        <v>161</v>
      </c>
      <c r="F2" s="25" t="s">
        <v>162</v>
      </c>
      <c r="G2" s="25" t="s">
        <v>163</v>
      </c>
    </row>
    <row r="3" spans="1:7" ht="12" thickBot="1">
      <c r="A3" s="26" t="s">
        <v>164</v>
      </c>
      <c r="B3" s="27" t="s">
        <v>165</v>
      </c>
      <c r="C3" s="27" t="s">
        <v>166</v>
      </c>
      <c r="D3" s="27" t="s">
        <v>167</v>
      </c>
      <c r="E3" s="27" t="s">
        <v>168</v>
      </c>
      <c r="F3" s="27" t="s">
        <v>169</v>
      </c>
      <c r="G3" s="27" t="s">
        <v>170</v>
      </c>
    </row>
    <row r="4" spans="1:7" ht="12" thickBot="1">
      <c r="A4" s="26" t="s">
        <v>171</v>
      </c>
      <c r="B4" s="27" t="s">
        <v>172</v>
      </c>
      <c r="C4" s="27" t="s">
        <v>166</v>
      </c>
      <c r="D4" s="27" t="s">
        <v>167</v>
      </c>
      <c r="E4" s="27" t="s">
        <v>168</v>
      </c>
      <c r="F4" s="27" t="s">
        <v>169</v>
      </c>
      <c r="G4" s="27" t="s">
        <v>173</v>
      </c>
    </row>
    <row r="5" spans="1:7" ht="12" thickBot="1">
      <c r="A5" s="26" t="s">
        <v>174</v>
      </c>
      <c r="B5" s="27" t="s">
        <v>175</v>
      </c>
      <c r="C5" s="27" t="s">
        <v>166</v>
      </c>
      <c r="D5" s="27" t="s">
        <v>167</v>
      </c>
      <c r="E5" s="27" t="s">
        <v>168</v>
      </c>
      <c r="F5" s="27" t="s">
        <v>169</v>
      </c>
      <c r="G5" s="27" t="s">
        <v>176</v>
      </c>
    </row>
    <row r="6" spans="1:7" ht="12" thickBot="1">
      <c r="A6" s="26" t="s">
        <v>177</v>
      </c>
      <c r="B6" s="27" t="s">
        <v>178</v>
      </c>
      <c r="C6" s="27" t="s">
        <v>166</v>
      </c>
      <c r="D6" s="27" t="s">
        <v>179</v>
      </c>
      <c r="E6" s="27" t="s">
        <v>168</v>
      </c>
      <c r="F6" s="27" t="s">
        <v>169</v>
      </c>
      <c r="G6" s="27" t="s">
        <v>34</v>
      </c>
    </row>
    <row r="7" spans="1:7" ht="12" thickBot="1">
      <c r="A7" s="26" t="s">
        <v>180</v>
      </c>
      <c r="B7" s="27" t="s">
        <v>181</v>
      </c>
      <c r="C7" s="27" t="s">
        <v>182</v>
      </c>
      <c r="D7" s="27" t="s">
        <v>167</v>
      </c>
      <c r="E7" s="27" t="s">
        <v>168</v>
      </c>
      <c r="F7" s="27" t="s">
        <v>169</v>
      </c>
      <c r="G7" s="27" t="s">
        <v>183</v>
      </c>
    </row>
    <row r="8" spans="1:7" ht="12" thickBot="1">
      <c r="A8" s="26" t="s">
        <v>184</v>
      </c>
      <c r="B8" s="27" t="s">
        <v>185</v>
      </c>
      <c r="C8" s="27" t="s">
        <v>166</v>
      </c>
      <c r="D8" s="27" t="s">
        <v>179</v>
      </c>
      <c r="E8" s="27" t="s">
        <v>168</v>
      </c>
      <c r="F8" s="27" t="s">
        <v>169</v>
      </c>
      <c r="G8" s="27" t="s">
        <v>186</v>
      </c>
    </row>
    <row r="9" spans="1:7" ht="12" thickBot="1">
      <c r="A9" s="26" t="s">
        <v>187</v>
      </c>
      <c r="B9" s="27" t="s">
        <v>20</v>
      </c>
      <c r="C9" s="27" t="s">
        <v>188</v>
      </c>
      <c r="D9" s="27" t="s">
        <v>167</v>
      </c>
      <c r="E9" s="27" t="s">
        <v>168</v>
      </c>
      <c r="F9" s="27" t="s">
        <v>169</v>
      </c>
      <c r="G9" s="27" t="s">
        <v>189</v>
      </c>
    </row>
    <row r="10" spans="1:7" ht="12" thickBot="1">
      <c r="A10" s="26" t="s">
        <v>190</v>
      </c>
      <c r="B10" s="27" t="s">
        <v>191</v>
      </c>
      <c r="C10" s="27" t="s">
        <v>166</v>
      </c>
      <c r="D10" s="27" t="s">
        <v>167</v>
      </c>
      <c r="E10" s="27" t="s">
        <v>168</v>
      </c>
      <c r="F10" s="27" t="s">
        <v>169</v>
      </c>
      <c r="G10" s="27" t="s">
        <v>173</v>
      </c>
    </row>
    <row r="11" spans="1:7" ht="12" thickBot="1">
      <c r="A11" s="26" t="s">
        <v>192</v>
      </c>
      <c r="B11" s="27" t="s">
        <v>193</v>
      </c>
      <c r="C11" s="27" t="s">
        <v>194</v>
      </c>
      <c r="D11" s="27" t="s">
        <v>167</v>
      </c>
      <c r="E11" s="27" t="s">
        <v>168</v>
      </c>
      <c r="F11" s="27" t="s">
        <v>169</v>
      </c>
      <c r="G11" s="27"/>
    </row>
    <row r="12" spans="1:7" ht="12" thickBot="1">
      <c r="A12" s="26" t="s">
        <v>195</v>
      </c>
      <c r="B12" s="27" t="s">
        <v>195</v>
      </c>
      <c r="C12" s="27" t="s">
        <v>188</v>
      </c>
      <c r="D12" s="27" t="s">
        <v>167</v>
      </c>
      <c r="E12" s="27" t="s">
        <v>168</v>
      </c>
      <c r="F12" s="27" t="s">
        <v>169</v>
      </c>
      <c r="G12" s="27" t="s">
        <v>196</v>
      </c>
    </row>
    <row r="13" spans="1:7" ht="12" thickBot="1">
      <c r="A13" s="26" t="s">
        <v>197</v>
      </c>
      <c r="B13" s="27" t="s">
        <v>198</v>
      </c>
      <c r="C13" s="27" t="s">
        <v>199</v>
      </c>
      <c r="D13" s="27" t="s">
        <v>167</v>
      </c>
      <c r="E13" s="27" t="s">
        <v>168</v>
      </c>
      <c r="F13" s="27" t="s">
        <v>169</v>
      </c>
      <c r="G13" s="27" t="s">
        <v>200</v>
      </c>
    </row>
    <row r="14" spans="1:7" ht="12" thickBot="1">
      <c r="A14" s="26" t="s">
        <v>201</v>
      </c>
      <c r="B14" s="27" t="s">
        <v>202</v>
      </c>
      <c r="C14" s="27" t="s">
        <v>203</v>
      </c>
      <c r="D14" s="27" t="s">
        <v>167</v>
      </c>
      <c r="E14" s="27" t="s">
        <v>168</v>
      </c>
      <c r="F14" s="27" t="s">
        <v>169</v>
      </c>
      <c r="G14" s="27" t="s">
        <v>204</v>
      </c>
    </row>
    <row r="15" spans="1:7" ht="12" thickBot="1">
      <c r="A15" s="26" t="s">
        <v>205</v>
      </c>
      <c r="B15" s="27" t="s">
        <v>206</v>
      </c>
      <c r="C15" s="27" t="s">
        <v>207</v>
      </c>
      <c r="D15" s="27" t="s">
        <v>167</v>
      </c>
      <c r="E15" s="27" t="s">
        <v>168</v>
      </c>
      <c r="F15" s="27" t="s">
        <v>169</v>
      </c>
      <c r="G15" s="27" t="s">
        <v>208</v>
      </c>
    </row>
    <row r="16" spans="1:7" ht="12" thickBot="1">
      <c r="A16" s="26" t="s">
        <v>209</v>
      </c>
      <c r="B16" s="27" t="s">
        <v>210</v>
      </c>
      <c r="C16" s="27" t="s">
        <v>166</v>
      </c>
      <c r="D16" s="27" t="s">
        <v>179</v>
      </c>
      <c r="E16" s="27" t="s">
        <v>168</v>
      </c>
      <c r="F16" s="27" t="s">
        <v>169</v>
      </c>
      <c r="G16" s="27" t="s">
        <v>34</v>
      </c>
    </row>
    <row r="17" spans="1:7" ht="12" thickBot="1">
      <c r="A17" s="26" t="s">
        <v>211</v>
      </c>
      <c r="B17" s="27" t="s">
        <v>212</v>
      </c>
      <c r="C17" s="27" t="s">
        <v>182</v>
      </c>
      <c r="D17" s="27" t="s">
        <v>167</v>
      </c>
      <c r="E17" s="27" t="s">
        <v>168</v>
      </c>
      <c r="F17" s="27" t="s">
        <v>169</v>
      </c>
      <c r="G17" s="27" t="s">
        <v>183</v>
      </c>
    </row>
    <row r="18" spans="1:7" ht="12" thickBot="1">
      <c r="A18" s="26" t="s">
        <v>213</v>
      </c>
      <c r="B18" s="27" t="s">
        <v>214</v>
      </c>
      <c r="C18" s="27" t="s">
        <v>166</v>
      </c>
      <c r="D18" s="27" t="s">
        <v>167</v>
      </c>
      <c r="E18" s="27" t="s">
        <v>168</v>
      </c>
      <c r="F18" s="27" t="s">
        <v>169</v>
      </c>
      <c r="G18" s="27" t="s">
        <v>215</v>
      </c>
    </row>
    <row r="19" spans="1:7" ht="12" thickBot="1">
      <c r="A19" s="26" t="s">
        <v>216</v>
      </c>
      <c r="B19" s="27" t="s">
        <v>217</v>
      </c>
      <c r="C19" s="27" t="s">
        <v>218</v>
      </c>
      <c r="D19" s="27" t="s">
        <v>169</v>
      </c>
      <c r="E19" s="27" t="s">
        <v>219</v>
      </c>
      <c r="F19" s="27" t="s">
        <v>169</v>
      </c>
      <c r="G19" s="27" t="s">
        <v>220</v>
      </c>
    </row>
    <row r="20" spans="1:7" ht="12" thickBot="1">
      <c r="A20" s="26" t="s">
        <v>221</v>
      </c>
      <c r="B20" s="27" t="s">
        <v>31</v>
      </c>
      <c r="C20" s="27" t="s">
        <v>166</v>
      </c>
      <c r="D20" s="27" t="s">
        <v>167</v>
      </c>
      <c r="E20" s="27" t="s">
        <v>222</v>
      </c>
      <c r="F20" s="27" t="s">
        <v>169</v>
      </c>
      <c r="G20" s="27" t="s">
        <v>223</v>
      </c>
    </row>
    <row r="21" spans="1:7" ht="12" thickBot="1">
      <c r="A21" s="26" t="s">
        <v>224</v>
      </c>
      <c r="B21" s="27" t="s">
        <v>225</v>
      </c>
      <c r="C21" s="27" t="s">
        <v>166</v>
      </c>
      <c r="D21" s="27" t="s">
        <v>167</v>
      </c>
      <c r="E21" s="27" t="s">
        <v>168</v>
      </c>
      <c r="F21" s="27" t="s">
        <v>169</v>
      </c>
      <c r="G21" s="27" t="s">
        <v>226</v>
      </c>
    </row>
    <row r="22" spans="1:7" ht="12" thickBot="1">
      <c r="A22" s="26" t="s">
        <v>227</v>
      </c>
      <c r="B22" s="27" t="s">
        <v>228</v>
      </c>
      <c r="C22" s="27" t="s">
        <v>166</v>
      </c>
      <c r="D22" s="27" t="s">
        <v>167</v>
      </c>
      <c r="E22" s="27" t="s">
        <v>168</v>
      </c>
      <c r="F22" s="27" t="s">
        <v>169</v>
      </c>
      <c r="G22" s="27" t="s">
        <v>173</v>
      </c>
    </row>
    <row r="23" spans="1:7" ht="12" thickBot="1">
      <c r="A23" s="26" t="s">
        <v>229</v>
      </c>
      <c r="B23" s="27" t="s">
        <v>230</v>
      </c>
      <c r="C23" s="27" t="s">
        <v>218</v>
      </c>
      <c r="D23" s="27" t="s">
        <v>169</v>
      </c>
      <c r="E23" s="27" t="s">
        <v>168</v>
      </c>
      <c r="F23" s="27" t="s">
        <v>169</v>
      </c>
      <c r="G23" s="27" t="s">
        <v>169</v>
      </c>
    </row>
    <row r="24" spans="1:7" ht="12" thickBot="1">
      <c r="A24" s="26" t="s">
        <v>231</v>
      </c>
      <c r="B24" s="27" t="s">
        <v>33</v>
      </c>
      <c r="C24" s="27" t="s">
        <v>16</v>
      </c>
      <c r="D24" s="27" t="s">
        <v>179</v>
      </c>
      <c r="E24" s="27" t="s">
        <v>168</v>
      </c>
      <c r="F24" s="27" t="s">
        <v>169</v>
      </c>
      <c r="G24" s="27" t="s">
        <v>34</v>
      </c>
    </row>
    <row r="25" spans="1:7" ht="12" thickBot="1">
      <c r="A25" s="26" t="s">
        <v>232</v>
      </c>
      <c r="B25" s="27" t="s">
        <v>233</v>
      </c>
      <c r="C25" s="27" t="s">
        <v>166</v>
      </c>
      <c r="D25" s="27" t="s">
        <v>179</v>
      </c>
      <c r="E25" s="27" t="s">
        <v>168</v>
      </c>
      <c r="F25" s="27" t="s">
        <v>169</v>
      </c>
      <c r="G25" s="27" t="s">
        <v>34</v>
      </c>
    </row>
    <row r="26" spans="1:7" ht="12" thickBot="1">
      <c r="A26" s="26" t="s">
        <v>234</v>
      </c>
      <c r="B26" s="27" t="s">
        <v>235</v>
      </c>
      <c r="C26" s="27" t="s">
        <v>182</v>
      </c>
      <c r="D26" s="27" t="s">
        <v>167</v>
      </c>
      <c r="E26" s="27" t="s">
        <v>168</v>
      </c>
      <c r="F26" s="27" t="s">
        <v>169</v>
      </c>
      <c r="G26" s="27" t="s">
        <v>183</v>
      </c>
    </row>
    <row r="27" spans="1:7" ht="12" thickBot="1">
      <c r="A27" s="26" t="s">
        <v>236</v>
      </c>
      <c r="B27" s="27" t="s">
        <v>237</v>
      </c>
      <c r="C27" s="27" t="s">
        <v>166</v>
      </c>
      <c r="D27" s="27" t="s">
        <v>179</v>
      </c>
      <c r="E27" s="27" t="s">
        <v>168</v>
      </c>
      <c r="F27" s="27" t="s">
        <v>169</v>
      </c>
      <c r="G27" s="27" t="s">
        <v>34</v>
      </c>
    </row>
    <row r="28" spans="1:7" ht="12" thickBot="1">
      <c r="A28" s="26" t="s">
        <v>238</v>
      </c>
      <c r="B28" s="27" t="s">
        <v>239</v>
      </c>
      <c r="C28" s="27" t="s">
        <v>16</v>
      </c>
      <c r="D28" s="27" t="s">
        <v>179</v>
      </c>
      <c r="E28" s="27" t="s">
        <v>168</v>
      </c>
      <c r="F28" s="27" t="s">
        <v>169</v>
      </c>
      <c r="G28" s="27" t="s">
        <v>34</v>
      </c>
    </row>
    <row r="29" spans="1:7" ht="12" thickBot="1">
      <c r="A29" s="26" t="s">
        <v>240</v>
      </c>
      <c r="B29" s="27" t="s">
        <v>38</v>
      </c>
      <c r="C29" s="27" t="s">
        <v>166</v>
      </c>
      <c r="D29" s="27" t="s">
        <v>179</v>
      </c>
      <c r="E29" s="27" t="s">
        <v>168</v>
      </c>
      <c r="F29" s="27" t="s">
        <v>169</v>
      </c>
      <c r="G29" s="27" t="s">
        <v>241</v>
      </c>
    </row>
    <row r="30" spans="1:7" ht="12" thickBot="1">
      <c r="A30" s="26" t="s">
        <v>242</v>
      </c>
      <c r="B30" s="27" t="s">
        <v>243</v>
      </c>
      <c r="C30" s="27" t="s">
        <v>182</v>
      </c>
      <c r="D30" s="27" t="s">
        <v>167</v>
      </c>
      <c r="E30" s="27" t="s">
        <v>168</v>
      </c>
      <c r="F30" s="27" t="s">
        <v>169</v>
      </c>
      <c r="G30" s="27" t="s">
        <v>244</v>
      </c>
    </row>
    <row r="31" spans="1:7" ht="12" thickBot="1">
      <c r="A31" s="26" t="s">
        <v>245</v>
      </c>
      <c r="B31" s="27" t="s">
        <v>246</v>
      </c>
      <c r="C31" s="27" t="s">
        <v>16</v>
      </c>
      <c r="D31" s="27" t="s">
        <v>179</v>
      </c>
      <c r="E31" s="27" t="s">
        <v>168</v>
      </c>
      <c r="F31" s="27" t="s">
        <v>169</v>
      </c>
      <c r="G31" s="27" t="s">
        <v>34</v>
      </c>
    </row>
    <row r="32" spans="1:7" ht="12" thickBot="1">
      <c r="A32" s="26" t="s">
        <v>247</v>
      </c>
      <c r="B32" s="27" t="s">
        <v>248</v>
      </c>
      <c r="C32" s="27" t="s">
        <v>166</v>
      </c>
      <c r="D32" s="27" t="s">
        <v>179</v>
      </c>
      <c r="E32" s="27" t="s">
        <v>222</v>
      </c>
      <c r="F32" s="27" t="s">
        <v>169</v>
      </c>
      <c r="G32" s="27" t="s">
        <v>249</v>
      </c>
    </row>
    <row r="33" spans="1:7" ht="12" thickBot="1">
      <c r="A33" s="26" t="s">
        <v>250</v>
      </c>
      <c r="B33" s="27" t="s">
        <v>251</v>
      </c>
      <c r="C33" s="27" t="s">
        <v>166</v>
      </c>
      <c r="D33" s="27" t="s">
        <v>167</v>
      </c>
      <c r="E33" s="27" t="s">
        <v>168</v>
      </c>
      <c r="F33" s="27" t="s">
        <v>169</v>
      </c>
      <c r="G33" s="27" t="s">
        <v>252</v>
      </c>
    </row>
    <row r="34" spans="1:7" ht="12" thickBot="1">
      <c r="A34" s="26" t="s">
        <v>253</v>
      </c>
      <c r="B34" s="27" t="s">
        <v>41</v>
      </c>
      <c r="C34" s="27" t="s">
        <v>166</v>
      </c>
      <c r="D34" s="27" t="s">
        <v>179</v>
      </c>
      <c r="E34" s="27" t="s">
        <v>168</v>
      </c>
      <c r="F34" s="27" t="s">
        <v>169</v>
      </c>
      <c r="G34" s="27" t="s">
        <v>254</v>
      </c>
    </row>
    <row r="35" spans="1:7" ht="12" thickBot="1">
      <c r="A35" s="26" t="s">
        <v>255</v>
      </c>
      <c r="B35" s="27" t="s">
        <v>256</v>
      </c>
      <c r="C35" s="27" t="s">
        <v>166</v>
      </c>
      <c r="D35" s="27" t="s">
        <v>179</v>
      </c>
      <c r="E35" s="27" t="s">
        <v>168</v>
      </c>
      <c r="F35" s="27" t="s">
        <v>169</v>
      </c>
      <c r="G35" s="27" t="s">
        <v>254</v>
      </c>
    </row>
    <row r="36" spans="1:7" ht="12" thickBot="1">
      <c r="A36" s="26" t="s">
        <v>257</v>
      </c>
      <c r="B36" s="27" t="s">
        <v>43</v>
      </c>
      <c r="C36" s="27" t="s">
        <v>166</v>
      </c>
      <c r="D36" s="27" t="s">
        <v>167</v>
      </c>
      <c r="E36" s="27" t="s">
        <v>168</v>
      </c>
      <c r="F36" s="27" t="s">
        <v>169</v>
      </c>
      <c r="G36" s="27" t="s">
        <v>258</v>
      </c>
    </row>
    <row r="37" spans="1:7" ht="12" thickBot="1">
      <c r="A37" s="26" t="s">
        <v>259</v>
      </c>
      <c r="B37" s="27" t="s">
        <v>45</v>
      </c>
      <c r="C37" s="27" t="s">
        <v>166</v>
      </c>
      <c r="D37" s="27" t="s">
        <v>167</v>
      </c>
      <c r="E37" s="27" t="s">
        <v>168</v>
      </c>
      <c r="F37" s="27" t="s">
        <v>169</v>
      </c>
      <c r="G37" s="27" t="s">
        <v>260</v>
      </c>
    </row>
    <row r="38" spans="1:7" ht="12" thickBot="1">
      <c r="A38" s="26" t="s">
        <v>261</v>
      </c>
      <c r="B38" s="27" t="s">
        <v>262</v>
      </c>
      <c r="C38" s="27" t="s">
        <v>166</v>
      </c>
      <c r="D38" s="27" t="s">
        <v>167</v>
      </c>
      <c r="E38" s="27" t="s">
        <v>168</v>
      </c>
      <c r="F38" s="27" t="s">
        <v>169</v>
      </c>
      <c r="G38" s="27" t="s">
        <v>204</v>
      </c>
    </row>
    <row r="39" spans="1:7" ht="12" thickBot="1">
      <c r="A39" s="26" t="s">
        <v>263</v>
      </c>
      <c r="B39" s="27" t="s">
        <v>263</v>
      </c>
      <c r="C39" s="27" t="s">
        <v>264</v>
      </c>
      <c r="D39" s="27" t="s">
        <v>167</v>
      </c>
      <c r="E39" s="27" t="s">
        <v>168</v>
      </c>
      <c r="F39" s="27" t="s">
        <v>169</v>
      </c>
      <c r="G39" s="27" t="s">
        <v>204</v>
      </c>
    </row>
    <row r="40" spans="1:7" ht="12" thickBot="1">
      <c r="A40" s="26" t="s">
        <v>265</v>
      </c>
      <c r="B40" s="27" t="s">
        <v>266</v>
      </c>
      <c r="C40" s="27" t="s">
        <v>16</v>
      </c>
      <c r="D40" s="27" t="s">
        <v>179</v>
      </c>
      <c r="E40" s="27" t="s">
        <v>168</v>
      </c>
      <c r="F40" s="27" t="s">
        <v>169</v>
      </c>
      <c r="G40" s="27" t="s">
        <v>267</v>
      </c>
    </row>
    <row r="41" spans="1:7" ht="12" thickBot="1">
      <c r="A41" s="26" t="s">
        <v>268</v>
      </c>
      <c r="B41" s="27" t="s">
        <v>47</v>
      </c>
      <c r="C41" s="27" t="s">
        <v>166</v>
      </c>
      <c r="D41" s="27" t="s">
        <v>167</v>
      </c>
      <c r="E41" s="27" t="s">
        <v>168</v>
      </c>
      <c r="F41" s="27" t="s">
        <v>169</v>
      </c>
      <c r="G41" s="27" t="s">
        <v>269</v>
      </c>
    </row>
    <row r="42" spans="1:7" ht="12" thickBot="1">
      <c r="A42" s="26" t="s">
        <v>270</v>
      </c>
      <c r="B42" s="27" t="s">
        <v>271</v>
      </c>
      <c r="C42" s="27" t="s">
        <v>166</v>
      </c>
      <c r="D42" s="27" t="s">
        <v>167</v>
      </c>
      <c r="E42" s="27" t="s">
        <v>168</v>
      </c>
      <c r="F42" s="27" t="s">
        <v>169</v>
      </c>
      <c r="G42" s="27" t="s">
        <v>272</v>
      </c>
    </row>
    <row r="43" spans="1:7" ht="12" thickBot="1">
      <c r="A43" s="26" t="s">
        <v>273</v>
      </c>
      <c r="B43" s="27" t="s">
        <v>274</v>
      </c>
      <c r="C43" s="27" t="s">
        <v>275</v>
      </c>
      <c r="D43" s="27" t="s">
        <v>167</v>
      </c>
      <c r="E43" s="27" t="s">
        <v>168</v>
      </c>
      <c r="F43" s="27" t="s">
        <v>169</v>
      </c>
      <c r="G43" s="27"/>
    </row>
    <row r="44" spans="1:7" ht="12" thickBot="1">
      <c r="A44" s="26" t="s">
        <v>276</v>
      </c>
      <c r="B44" s="27" t="s">
        <v>277</v>
      </c>
      <c r="C44" s="27" t="s">
        <v>166</v>
      </c>
      <c r="D44" s="27" t="s">
        <v>278</v>
      </c>
      <c r="E44" s="27" t="s">
        <v>168</v>
      </c>
      <c r="F44" s="27" t="s">
        <v>169</v>
      </c>
      <c r="G44" s="27" t="s">
        <v>279</v>
      </c>
    </row>
    <row r="45" spans="1:7" ht="12" thickBot="1">
      <c r="A45" s="26" t="s">
        <v>280</v>
      </c>
      <c r="B45" s="27" t="s">
        <v>281</v>
      </c>
      <c r="C45" s="27" t="s">
        <v>282</v>
      </c>
      <c r="D45" s="27" t="s">
        <v>169</v>
      </c>
      <c r="E45" s="27" t="s">
        <v>168</v>
      </c>
      <c r="F45" s="27" t="s">
        <v>169</v>
      </c>
      <c r="G45" s="27"/>
    </row>
    <row r="46" spans="1:7" ht="12" thickBot="1">
      <c r="A46" s="26" t="s">
        <v>283</v>
      </c>
      <c r="B46" s="27" t="s">
        <v>283</v>
      </c>
      <c r="C46" s="27" t="s">
        <v>188</v>
      </c>
      <c r="D46" s="27" t="s">
        <v>167</v>
      </c>
      <c r="E46" s="27" t="s">
        <v>168</v>
      </c>
      <c r="F46" s="27" t="s">
        <v>169</v>
      </c>
      <c r="G46" s="27" t="s">
        <v>196</v>
      </c>
    </row>
    <row r="47" spans="1:7" ht="12" thickBot="1">
      <c r="A47" s="26" t="s">
        <v>284</v>
      </c>
      <c r="B47" s="27" t="s">
        <v>285</v>
      </c>
      <c r="C47" s="27" t="s">
        <v>282</v>
      </c>
      <c r="D47" s="27" t="s">
        <v>169</v>
      </c>
      <c r="E47" s="27" t="s">
        <v>168</v>
      </c>
      <c r="F47" s="27" t="s">
        <v>169</v>
      </c>
      <c r="G47" s="27" t="s">
        <v>284</v>
      </c>
    </row>
    <row r="48" spans="1:7" ht="12" thickBot="1">
      <c r="A48" s="26" t="s">
        <v>286</v>
      </c>
      <c r="B48" s="27" t="s">
        <v>287</v>
      </c>
      <c r="C48" s="27" t="s">
        <v>166</v>
      </c>
      <c r="D48" s="27" t="s">
        <v>179</v>
      </c>
      <c r="E48" s="27" t="s">
        <v>168</v>
      </c>
      <c r="F48" s="27" t="s">
        <v>169</v>
      </c>
      <c r="G48" s="27" t="s">
        <v>288</v>
      </c>
    </row>
    <row r="49" spans="1:7" ht="12" thickBot="1">
      <c r="A49" s="26" t="s">
        <v>289</v>
      </c>
      <c r="B49" s="27" t="s">
        <v>290</v>
      </c>
      <c r="C49" s="27" t="s">
        <v>182</v>
      </c>
      <c r="D49" s="27" t="s">
        <v>169</v>
      </c>
      <c r="E49" s="27" t="s">
        <v>169</v>
      </c>
      <c r="F49" s="27" t="s">
        <v>169</v>
      </c>
      <c r="G49" s="27" t="s">
        <v>291</v>
      </c>
    </row>
    <row r="50" spans="1:7" ht="12" thickBot="1">
      <c r="A50" s="26" t="s">
        <v>292</v>
      </c>
      <c r="B50" s="27" t="s">
        <v>292</v>
      </c>
      <c r="C50" s="27" t="s">
        <v>188</v>
      </c>
      <c r="D50" s="27" t="s">
        <v>167</v>
      </c>
      <c r="E50" s="27" t="s">
        <v>168</v>
      </c>
      <c r="F50" s="27" t="s">
        <v>169</v>
      </c>
      <c r="G50" s="27" t="s">
        <v>196</v>
      </c>
    </row>
    <row r="51" spans="1:7" ht="12" thickBot="1">
      <c r="A51" s="26" t="s">
        <v>293</v>
      </c>
      <c r="B51" s="27" t="s">
        <v>294</v>
      </c>
      <c r="C51" s="27" t="s">
        <v>16</v>
      </c>
      <c r="D51" s="27" t="s">
        <v>179</v>
      </c>
      <c r="E51" s="27" t="s">
        <v>168</v>
      </c>
      <c r="F51" s="27" t="s">
        <v>169</v>
      </c>
      <c r="G51" s="27" t="s">
        <v>34</v>
      </c>
    </row>
    <row r="52" spans="1:7" ht="12" thickBot="1">
      <c r="A52" s="26" t="s">
        <v>295</v>
      </c>
      <c r="B52" s="27" t="s">
        <v>296</v>
      </c>
      <c r="C52" s="27" t="s">
        <v>188</v>
      </c>
      <c r="D52" s="27" t="s">
        <v>167</v>
      </c>
      <c r="E52" s="27" t="s">
        <v>168</v>
      </c>
      <c r="F52" s="27" t="s">
        <v>169</v>
      </c>
      <c r="G52" s="27" t="s">
        <v>297</v>
      </c>
    </row>
    <row r="53" spans="1:7" ht="12" thickBot="1">
      <c r="A53" s="26" t="s">
        <v>298</v>
      </c>
      <c r="B53" s="27" t="s">
        <v>299</v>
      </c>
      <c r="C53" s="27" t="s">
        <v>300</v>
      </c>
      <c r="D53" s="27" t="s">
        <v>167</v>
      </c>
      <c r="E53" s="27" t="s">
        <v>168</v>
      </c>
      <c r="F53" s="27" t="s">
        <v>169</v>
      </c>
      <c r="G53" s="27" t="s">
        <v>204</v>
      </c>
    </row>
    <row r="54" spans="1:7" ht="12" thickBot="1">
      <c r="A54" s="26" t="s">
        <v>301</v>
      </c>
      <c r="B54" s="27" t="s">
        <v>302</v>
      </c>
      <c r="C54" s="27" t="s">
        <v>303</v>
      </c>
      <c r="D54" s="27" t="s">
        <v>169</v>
      </c>
      <c r="E54" s="27" t="s">
        <v>168</v>
      </c>
      <c r="F54" s="27" t="s">
        <v>169</v>
      </c>
      <c r="G54" s="27" t="s">
        <v>196</v>
      </c>
    </row>
    <row r="55" spans="1:7" ht="12" thickBot="1">
      <c r="A55" s="26" t="s">
        <v>304</v>
      </c>
      <c r="B55" s="27" t="s">
        <v>304</v>
      </c>
      <c r="C55" s="27" t="s">
        <v>305</v>
      </c>
      <c r="D55" s="27" t="s">
        <v>169</v>
      </c>
      <c r="E55" s="27" t="s">
        <v>169</v>
      </c>
      <c r="F55" s="27" t="s">
        <v>169</v>
      </c>
      <c r="G55" s="27"/>
    </row>
    <row r="56" spans="1:7" ht="12" thickBot="1">
      <c r="A56" s="26" t="s">
        <v>306</v>
      </c>
      <c r="B56" s="27" t="s">
        <v>307</v>
      </c>
      <c r="C56" s="27" t="s">
        <v>166</v>
      </c>
      <c r="D56" s="27" t="s">
        <v>167</v>
      </c>
      <c r="E56" s="27" t="s">
        <v>168</v>
      </c>
      <c r="F56" s="27" t="s">
        <v>169</v>
      </c>
      <c r="G56" s="27" t="s">
        <v>173</v>
      </c>
    </row>
    <row r="57" spans="1:7" ht="12" thickBot="1">
      <c r="A57" s="26" t="s">
        <v>308</v>
      </c>
      <c r="B57" s="27" t="s">
        <v>309</v>
      </c>
      <c r="C57" s="27" t="s">
        <v>166</v>
      </c>
      <c r="D57" s="27" t="s">
        <v>167</v>
      </c>
      <c r="E57" s="27" t="s">
        <v>168</v>
      </c>
      <c r="F57" s="27" t="s">
        <v>169</v>
      </c>
      <c r="G57" s="28">
        <v>200.7</v>
      </c>
    </row>
    <row r="58" spans="1:7" ht="12" thickBot="1">
      <c r="A58" s="26" t="s">
        <v>310</v>
      </c>
      <c r="B58" s="27" t="s">
        <v>311</v>
      </c>
      <c r="C58" s="27" t="s">
        <v>282</v>
      </c>
      <c r="D58" s="27" t="s">
        <v>169</v>
      </c>
      <c r="E58" s="27" t="s">
        <v>168</v>
      </c>
      <c r="F58" s="27" t="s">
        <v>169</v>
      </c>
      <c r="G58" s="27"/>
    </row>
    <row r="59" spans="1:7" ht="12" thickBot="1">
      <c r="A59" s="26" t="s">
        <v>312</v>
      </c>
      <c r="B59" s="27" t="s">
        <v>313</v>
      </c>
      <c r="C59" s="27" t="s">
        <v>166</v>
      </c>
      <c r="D59" s="27" t="s">
        <v>167</v>
      </c>
      <c r="E59" s="27" t="s">
        <v>168</v>
      </c>
      <c r="F59" s="27" t="s">
        <v>169</v>
      </c>
      <c r="G59" s="27" t="s">
        <v>314</v>
      </c>
    </row>
    <row r="60" spans="1:7" ht="12" thickBot="1">
      <c r="A60" s="26" t="s">
        <v>315</v>
      </c>
      <c r="B60" s="27" t="s">
        <v>316</v>
      </c>
      <c r="C60" s="27" t="s">
        <v>166</v>
      </c>
      <c r="D60" s="27" t="s">
        <v>167</v>
      </c>
      <c r="E60" s="27" t="s">
        <v>168</v>
      </c>
      <c r="F60" s="27" t="s">
        <v>169</v>
      </c>
      <c r="G60" s="27" t="s">
        <v>226</v>
      </c>
    </row>
    <row r="61" spans="1:7" ht="12" thickBot="1">
      <c r="A61" s="26" t="s">
        <v>317</v>
      </c>
      <c r="B61" s="27" t="s">
        <v>318</v>
      </c>
      <c r="C61" s="27" t="s">
        <v>16</v>
      </c>
      <c r="D61" s="27" t="s">
        <v>179</v>
      </c>
      <c r="E61" s="27" t="s">
        <v>168</v>
      </c>
      <c r="F61" s="27" t="s">
        <v>169</v>
      </c>
      <c r="G61" s="27" t="s">
        <v>34</v>
      </c>
    </row>
    <row r="62" spans="1:7" ht="12" thickBot="1">
      <c r="A62" s="26" t="s">
        <v>319</v>
      </c>
      <c r="B62" s="27" t="s">
        <v>320</v>
      </c>
      <c r="C62" s="27" t="s">
        <v>275</v>
      </c>
      <c r="D62" s="27" t="s">
        <v>167</v>
      </c>
      <c r="E62" s="27" t="s">
        <v>168</v>
      </c>
      <c r="F62" s="27" t="s">
        <v>169</v>
      </c>
      <c r="G62" s="27"/>
    </row>
    <row r="63" ht="11.25">
      <c r="A63" s="29"/>
    </row>
  </sheetData>
  <printOptions/>
  <pageMargins left="0.75" right="0.75" top="1" bottom="1" header="0.5" footer="0.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B26" sqref="B26"/>
    </sheetView>
  </sheetViews>
  <sheetFormatPr defaultColWidth="9.140625" defaultRowHeight="12.75"/>
  <cols>
    <col min="1" max="1" width="10.7109375" style="0" bestFit="1" customWidth="1"/>
    <col min="2" max="2" width="15.8515625" style="0" bestFit="1" customWidth="1"/>
    <col min="3" max="3" width="17.28125" style="0" bestFit="1" customWidth="1"/>
    <col min="4" max="4" width="10.28125" style="0" bestFit="1" customWidth="1"/>
    <col min="5" max="5" width="15.8515625" style="0" bestFit="1" customWidth="1"/>
  </cols>
  <sheetData>
    <row r="2" spans="1:5" ht="12.75">
      <c r="A2" s="434" t="s">
        <v>571</v>
      </c>
      <c r="B2" s="434"/>
      <c r="C2" s="434"/>
      <c r="D2" s="434"/>
      <c r="E2" s="434"/>
    </row>
    <row r="3" spans="1:5" ht="12.75">
      <c r="A3" s="282"/>
      <c r="B3" s="283" t="s">
        <v>515</v>
      </c>
      <c r="C3" s="283" t="s">
        <v>443</v>
      </c>
      <c r="D3" s="283" t="s">
        <v>411</v>
      </c>
      <c r="E3" s="283" t="s">
        <v>329</v>
      </c>
    </row>
    <row r="4" spans="1:5" ht="12.75">
      <c r="A4" s="435" t="s">
        <v>527</v>
      </c>
      <c r="B4" s="436"/>
      <c r="C4" s="436"/>
      <c r="D4" s="436"/>
      <c r="E4" s="284" t="s">
        <v>516</v>
      </c>
    </row>
    <row r="5" spans="1:5" ht="12.75">
      <c r="A5" s="285" t="s">
        <v>521</v>
      </c>
      <c r="B5" s="280">
        <v>225</v>
      </c>
      <c r="C5" s="280">
        <v>146</v>
      </c>
      <c r="D5" s="280">
        <v>236</v>
      </c>
      <c r="E5" s="280">
        <v>703</v>
      </c>
    </row>
    <row r="6" spans="1:5" ht="12.75">
      <c r="A6" s="285" t="s">
        <v>522</v>
      </c>
      <c r="B6" s="280">
        <v>279</v>
      </c>
      <c r="C6" s="280">
        <v>33</v>
      </c>
      <c r="D6" s="280">
        <v>569</v>
      </c>
      <c r="E6" s="280">
        <v>641</v>
      </c>
    </row>
    <row r="7" spans="1:5" ht="12.75">
      <c r="A7" s="285" t="s">
        <v>523</v>
      </c>
      <c r="B7" s="280">
        <v>855</v>
      </c>
      <c r="C7" s="280">
        <v>21</v>
      </c>
      <c r="D7" s="280">
        <v>86</v>
      </c>
      <c r="E7" s="280">
        <v>568</v>
      </c>
    </row>
    <row r="8" spans="1:5" ht="12.75">
      <c r="A8" s="435" t="s">
        <v>526</v>
      </c>
      <c r="B8" s="435"/>
      <c r="C8" s="435"/>
      <c r="D8" s="435"/>
      <c r="E8" s="435"/>
    </row>
    <row r="9" spans="1:11" ht="12.75">
      <c r="A9" s="285" t="s">
        <v>521</v>
      </c>
      <c r="B9" s="280">
        <v>8</v>
      </c>
      <c r="C9" s="280">
        <v>12</v>
      </c>
      <c r="D9" s="280">
        <v>30</v>
      </c>
      <c r="E9" s="281">
        <v>8</v>
      </c>
      <c r="G9" s="15"/>
      <c r="H9" s="15"/>
      <c r="I9" s="15"/>
      <c r="J9" s="15"/>
      <c r="K9" s="15"/>
    </row>
    <row r="10" spans="1:11" ht="12.75">
      <c r="A10" s="285" t="s">
        <v>522</v>
      </c>
      <c r="B10" s="280">
        <v>12</v>
      </c>
      <c r="C10" s="280">
        <v>12</v>
      </c>
      <c r="D10" s="280">
        <v>58</v>
      </c>
      <c r="E10" s="281">
        <v>8</v>
      </c>
      <c r="G10" s="15"/>
      <c r="H10" s="15"/>
      <c r="I10" s="15"/>
      <c r="J10" s="15"/>
      <c r="K10" s="44"/>
    </row>
    <row r="11" spans="1:11" ht="12.75">
      <c r="A11" s="285" t="s">
        <v>523</v>
      </c>
      <c r="B11" s="280">
        <v>18</v>
      </c>
      <c r="C11" s="280">
        <v>4</v>
      </c>
      <c r="D11" s="280">
        <v>41</v>
      </c>
      <c r="E11" s="281">
        <v>5</v>
      </c>
      <c r="G11" s="15"/>
      <c r="H11" s="15"/>
      <c r="I11" s="15"/>
      <c r="J11" s="15"/>
      <c r="K11" s="44"/>
    </row>
    <row r="12" spans="1:11" ht="12.75">
      <c r="A12" s="435" t="s">
        <v>517</v>
      </c>
      <c r="B12" s="435"/>
      <c r="C12" s="435"/>
      <c r="D12" s="435"/>
      <c r="E12" s="435"/>
      <c r="G12" s="15"/>
      <c r="H12" s="15"/>
      <c r="I12" s="15"/>
      <c r="J12" s="15"/>
      <c r="K12" s="44"/>
    </row>
    <row r="13" spans="1:5" ht="12.75">
      <c r="A13" s="285" t="s">
        <v>521</v>
      </c>
      <c r="B13" s="281">
        <v>15</v>
      </c>
      <c r="C13" s="281">
        <v>35</v>
      </c>
      <c r="D13" s="281">
        <v>65</v>
      </c>
      <c r="E13" s="281">
        <v>22</v>
      </c>
    </row>
    <row r="14" spans="1:5" ht="12.75">
      <c r="A14" s="285" t="s">
        <v>522</v>
      </c>
      <c r="B14" s="281">
        <v>31</v>
      </c>
      <c r="C14" s="281">
        <v>44</v>
      </c>
      <c r="D14" s="281">
        <v>275</v>
      </c>
      <c r="E14" s="281">
        <v>30</v>
      </c>
    </row>
    <row r="15" spans="1:5" ht="12.75">
      <c r="A15" s="285" t="s">
        <v>523</v>
      </c>
      <c r="B15" s="281">
        <v>35</v>
      </c>
      <c r="C15" s="281">
        <v>26</v>
      </c>
      <c r="D15" s="281">
        <v>79</v>
      </c>
      <c r="E15" s="281">
        <v>16</v>
      </c>
    </row>
    <row r="16" spans="1:5" ht="12.75">
      <c r="A16" s="331" t="s">
        <v>572</v>
      </c>
      <c r="B16" s="332">
        <v>27</v>
      </c>
      <c r="C16" s="332">
        <v>35</v>
      </c>
      <c r="D16" s="332">
        <v>126</v>
      </c>
      <c r="E16" s="332">
        <v>26</v>
      </c>
    </row>
    <row r="17" spans="1:5" ht="12.75">
      <c r="A17" s="309" t="s">
        <v>518</v>
      </c>
      <c r="B17" s="307">
        <v>79</v>
      </c>
      <c r="C17" s="307">
        <v>31.333333333333332</v>
      </c>
      <c r="D17" s="307">
        <v>138</v>
      </c>
      <c r="E17" s="307">
        <v>37.333333333333336</v>
      </c>
    </row>
    <row r="18" spans="1:5" ht="12.75">
      <c r="A18" s="310" t="s">
        <v>520</v>
      </c>
      <c r="B18" s="308">
        <v>63</v>
      </c>
      <c r="C18" s="308">
        <v>442</v>
      </c>
      <c r="D18" s="308">
        <v>51</v>
      </c>
      <c r="E18" s="308">
        <v>38</v>
      </c>
    </row>
    <row r="19" spans="1:5" ht="12.75">
      <c r="A19" s="310" t="s">
        <v>519</v>
      </c>
      <c r="B19" s="308">
        <v>25</v>
      </c>
      <c r="C19" s="308">
        <v>23</v>
      </c>
      <c r="D19" s="308">
        <v>38</v>
      </c>
      <c r="E19" s="308">
        <v>23</v>
      </c>
    </row>
  </sheetData>
  <mergeCells count="4">
    <mergeCell ref="A2:E2"/>
    <mergeCell ref="A4:D4"/>
    <mergeCell ref="A8:E8"/>
    <mergeCell ref="A12:E12"/>
  </mergeCells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48"/>
  <sheetViews>
    <sheetView workbookViewId="0" topLeftCell="P21">
      <selection activeCell="AE58" sqref="AE58"/>
    </sheetView>
  </sheetViews>
  <sheetFormatPr defaultColWidth="9.140625" defaultRowHeight="12.75"/>
  <cols>
    <col min="8" max="8" width="9.28125" style="0" customWidth="1"/>
    <col min="35" max="35" width="5.57421875" style="0" bestFit="1" customWidth="1"/>
    <col min="36" max="36" width="22.57421875" style="0" bestFit="1" customWidth="1"/>
  </cols>
  <sheetData>
    <row r="1" spans="1:35" ht="12.7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 t="s">
        <v>404</v>
      </c>
      <c r="S1" s="146"/>
      <c r="T1" s="146"/>
      <c r="U1" s="146"/>
      <c r="V1" s="146"/>
      <c r="W1" s="146"/>
      <c r="X1" s="146"/>
      <c r="Y1" s="146"/>
      <c r="Z1" s="146"/>
      <c r="AA1" s="146"/>
      <c r="AB1" s="147"/>
      <c r="AC1" s="147"/>
      <c r="AD1" s="147"/>
      <c r="AE1" s="147"/>
      <c r="AF1" s="147"/>
      <c r="AG1" s="147"/>
      <c r="AH1" s="147"/>
      <c r="AI1" s="147"/>
    </row>
    <row r="2" spans="1:36" ht="12.75">
      <c r="A2" s="146" t="s">
        <v>403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>
        <v>1988</v>
      </c>
      <c r="T2" s="146">
        <v>1991</v>
      </c>
      <c r="U2" s="146">
        <v>1992</v>
      </c>
      <c r="V2" s="146">
        <v>1993</v>
      </c>
      <c r="W2" s="146">
        <v>1994</v>
      </c>
      <c r="X2" s="146">
        <v>1995</v>
      </c>
      <c r="Y2" s="146">
        <v>1996</v>
      </c>
      <c r="Z2" s="146">
        <v>1997</v>
      </c>
      <c r="AA2" s="146">
        <v>1998</v>
      </c>
      <c r="AB2" s="147">
        <v>1999</v>
      </c>
      <c r="AC2" s="147">
        <v>2000</v>
      </c>
      <c r="AD2" s="147">
        <v>2001</v>
      </c>
      <c r="AE2" s="147">
        <v>2002</v>
      </c>
      <c r="AF2" s="147">
        <v>2003</v>
      </c>
      <c r="AG2" s="147">
        <v>2004</v>
      </c>
      <c r="AH2" s="147">
        <v>2005</v>
      </c>
      <c r="AI2" s="146" t="s">
        <v>402</v>
      </c>
      <c r="AJ2" s="146" t="s">
        <v>401</v>
      </c>
    </row>
    <row r="3" spans="1:36" ht="12.75">
      <c r="A3" s="146"/>
      <c r="B3" s="146">
        <v>1988</v>
      </c>
      <c r="C3" s="146">
        <v>1991</v>
      </c>
      <c r="D3" s="146">
        <v>1992</v>
      </c>
      <c r="E3" s="146">
        <v>1993</v>
      </c>
      <c r="F3" s="146">
        <v>1994</v>
      </c>
      <c r="G3" s="146">
        <v>1995</v>
      </c>
      <c r="H3" s="146">
        <v>1996</v>
      </c>
      <c r="I3" s="146">
        <v>1997</v>
      </c>
      <c r="J3" s="146">
        <v>1998</v>
      </c>
      <c r="K3" s="146">
        <v>1999</v>
      </c>
      <c r="L3" s="146">
        <v>2000</v>
      </c>
      <c r="M3" s="146">
        <v>2001</v>
      </c>
      <c r="N3" s="146">
        <v>2002</v>
      </c>
      <c r="O3" s="146">
        <v>2003</v>
      </c>
      <c r="P3" s="146">
        <v>2004</v>
      </c>
      <c r="Q3" s="146">
        <v>2005</v>
      </c>
      <c r="R3" s="146" t="s">
        <v>384</v>
      </c>
      <c r="S3" s="148">
        <f aca="true" t="shared" si="0" ref="S3:AH3">LN(B5)</f>
        <v>2.011086222015564</v>
      </c>
      <c r="T3" s="148">
        <f t="shared" si="0"/>
        <v>3.054944133185837</v>
      </c>
      <c r="U3" s="148">
        <f t="shared" si="0"/>
        <v>2.944965156500338</v>
      </c>
      <c r="V3" s="148">
        <f t="shared" si="0"/>
        <v>2.186051276738094</v>
      </c>
      <c r="W3" s="148">
        <f t="shared" si="0"/>
        <v>3.0170044088295307</v>
      </c>
      <c r="X3" s="148">
        <f t="shared" si="0"/>
        <v>1.6272778305624314</v>
      </c>
      <c r="Y3" s="148">
        <f t="shared" si="0"/>
        <v>1.3609765531356006</v>
      </c>
      <c r="Z3" s="148">
        <f t="shared" si="0"/>
        <v>0.8329091229351039</v>
      </c>
      <c r="AA3" s="148">
        <f t="shared" si="0"/>
        <v>1.3887912413184778</v>
      </c>
      <c r="AB3" s="148">
        <f t="shared" si="0"/>
        <v>1.4586150226995167</v>
      </c>
      <c r="AC3" s="148">
        <f t="shared" si="0"/>
        <v>1.9740810260220096</v>
      </c>
      <c r="AD3" s="148">
        <f t="shared" si="0"/>
        <v>2.2617630984737906</v>
      </c>
      <c r="AE3" s="148">
        <f t="shared" si="0"/>
        <v>2.2823823856765264</v>
      </c>
      <c r="AF3" s="148">
        <f t="shared" si="0"/>
        <v>2.3702437414678603</v>
      </c>
      <c r="AG3" s="148">
        <f t="shared" si="0"/>
        <v>2.0149030205422647</v>
      </c>
      <c r="AH3" s="148">
        <f t="shared" si="0"/>
        <v>1.9600947840472698</v>
      </c>
      <c r="AI3" s="146" t="s">
        <v>400</v>
      </c>
      <c r="AJ3" s="146" t="s">
        <v>399</v>
      </c>
    </row>
    <row r="4" spans="1:36" ht="12.75">
      <c r="A4" s="146" t="s">
        <v>366</v>
      </c>
      <c r="B4" s="148">
        <f>1162/7</f>
        <v>166</v>
      </c>
      <c r="C4" s="146">
        <v>184.16</v>
      </c>
      <c r="D4" s="146">
        <v>162.26</v>
      </c>
      <c r="E4" s="146">
        <v>167.91</v>
      </c>
      <c r="F4" s="146">
        <v>87.03</v>
      </c>
      <c r="G4" s="146">
        <v>40.91</v>
      </c>
      <c r="H4" s="146">
        <v>34</v>
      </c>
      <c r="I4" s="146">
        <v>13</v>
      </c>
      <c r="J4" s="146">
        <v>12.3</v>
      </c>
      <c r="K4" s="146">
        <v>20</v>
      </c>
      <c r="L4" s="146">
        <v>21</v>
      </c>
      <c r="M4" s="146">
        <v>30</v>
      </c>
      <c r="N4" s="146">
        <v>22.9</v>
      </c>
      <c r="O4" s="146">
        <v>32.1</v>
      </c>
      <c r="P4" s="146">
        <v>30</v>
      </c>
      <c r="Q4" s="146">
        <v>25.9</v>
      </c>
      <c r="R4" s="146"/>
      <c r="S4" s="148">
        <f aca="true" t="shared" si="1" ref="S4:AH4">20+(14.42*S3)</f>
        <v>48.99986332146443</v>
      </c>
      <c r="T4" s="148">
        <f t="shared" si="1"/>
        <v>64.05229440053976</v>
      </c>
      <c r="U4" s="148">
        <f t="shared" si="1"/>
        <v>62.46639755673487</v>
      </c>
      <c r="V4" s="148">
        <f t="shared" si="1"/>
        <v>51.52285941056331</v>
      </c>
      <c r="W4" s="148">
        <f t="shared" si="1"/>
        <v>63.50520357532183</v>
      </c>
      <c r="X4" s="148">
        <f t="shared" si="1"/>
        <v>43.46534631671026</v>
      </c>
      <c r="Y4" s="148">
        <f t="shared" si="1"/>
        <v>39.62528189621536</v>
      </c>
      <c r="Z4" s="148">
        <f t="shared" si="1"/>
        <v>32.0105495527242</v>
      </c>
      <c r="AA4" s="148">
        <f t="shared" si="1"/>
        <v>40.02636969981245</v>
      </c>
      <c r="AB4" s="148">
        <f t="shared" si="1"/>
        <v>41.033228627327034</v>
      </c>
      <c r="AC4" s="148">
        <f t="shared" si="1"/>
        <v>48.46624839523738</v>
      </c>
      <c r="AD4" s="148">
        <f t="shared" si="1"/>
        <v>52.61462387999206</v>
      </c>
      <c r="AE4" s="148">
        <f t="shared" si="1"/>
        <v>52.91195400145551</v>
      </c>
      <c r="AF4" s="148">
        <f t="shared" si="1"/>
        <v>54.178914751966545</v>
      </c>
      <c r="AG4" s="148">
        <f t="shared" si="1"/>
        <v>49.054901556219455</v>
      </c>
      <c r="AH4" s="148">
        <f t="shared" si="1"/>
        <v>48.264566785961634</v>
      </c>
      <c r="AI4" s="146" t="s">
        <v>397</v>
      </c>
      <c r="AJ4" s="146" t="s">
        <v>396</v>
      </c>
    </row>
    <row r="5" spans="1:36" ht="12.75">
      <c r="A5" s="146" t="s">
        <v>391</v>
      </c>
      <c r="B5" s="148">
        <f>52.3/7</f>
        <v>7.471428571428572</v>
      </c>
      <c r="C5" s="146">
        <v>21.22</v>
      </c>
      <c r="D5" s="146">
        <v>19.01</v>
      </c>
      <c r="E5" s="146">
        <v>8.9</v>
      </c>
      <c r="F5" s="146">
        <v>20.43</v>
      </c>
      <c r="G5" s="146">
        <v>5.09</v>
      </c>
      <c r="H5" s="146">
        <v>3.9</v>
      </c>
      <c r="I5" s="146">
        <v>2.3</v>
      </c>
      <c r="J5" s="146">
        <v>4.01</v>
      </c>
      <c r="K5" s="146">
        <v>4.3</v>
      </c>
      <c r="L5" s="146">
        <v>7.2</v>
      </c>
      <c r="M5" s="146">
        <v>9.6</v>
      </c>
      <c r="N5" s="146">
        <v>9.8</v>
      </c>
      <c r="O5" s="146">
        <v>10.7</v>
      </c>
      <c r="P5" s="146">
        <v>7.5</v>
      </c>
      <c r="Q5" s="146">
        <v>7.1</v>
      </c>
      <c r="R5" s="146"/>
      <c r="S5" s="148"/>
      <c r="T5" s="148"/>
      <c r="U5" s="148"/>
      <c r="V5" s="148"/>
      <c r="W5" s="148"/>
      <c r="X5" s="148"/>
      <c r="Y5" s="146"/>
      <c r="Z5" s="146"/>
      <c r="AA5" s="146"/>
      <c r="AB5" s="146"/>
      <c r="AI5" s="146" t="s">
        <v>395</v>
      </c>
      <c r="AJ5" s="146" t="s">
        <v>394</v>
      </c>
    </row>
    <row r="6" spans="1:36" ht="12.75">
      <c r="A6" s="146" t="s">
        <v>284</v>
      </c>
      <c r="B6" s="146">
        <f>6.5/4</f>
        <v>1.625</v>
      </c>
      <c r="C6" s="146">
        <v>2.17</v>
      </c>
      <c r="D6" s="146">
        <v>2.1</v>
      </c>
      <c r="E6" s="146">
        <v>2.84</v>
      </c>
      <c r="F6" s="146">
        <v>1.79</v>
      </c>
      <c r="G6" s="146">
        <v>2.14</v>
      </c>
      <c r="H6" s="146">
        <v>4.86</v>
      </c>
      <c r="I6" s="146">
        <v>3.1</v>
      </c>
      <c r="J6" s="146">
        <v>2.63</v>
      </c>
      <c r="K6" s="146">
        <v>2.1</v>
      </c>
      <c r="L6" s="146">
        <v>2.43</v>
      </c>
      <c r="M6" s="146">
        <v>2</v>
      </c>
      <c r="N6" s="146">
        <v>2.3</v>
      </c>
      <c r="O6" s="146">
        <v>1.9</v>
      </c>
      <c r="P6" s="146">
        <v>2.5</v>
      </c>
      <c r="Q6" s="146">
        <v>2.1</v>
      </c>
      <c r="R6" s="146" t="s">
        <v>383</v>
      </c>
      <c r="S6" s="148">
        <f aca="true" t="shared" si="2" ref="S6:AH6">LN(B4)</f>
        <v>5.111987788356544</v>
      </c>
      <c r="T6" s="148">
        <f t="shared" si="2"/>
        <v>5.215804944973573</v>
      </c>
      <c r="U6" s="148">
        <f t="shared" si="2"/>
        <v>5.089199986966919</v>
      </c>
      <c r="V6" s="148">
        <f t="shared" si="2"/>
        <v>5.1234281215713775</v>
      </c>
      <c r="W6" s="148">
        <f t="shared" si="2"/>
        <v>4.466252886801422</v>
      </c>
      <c r="X6" s="148">
        <f t="shared" si="2"/>
        <v>3.711374531941307</v>
      </c>
      <c r="Y6" s="148">
        <f t="shared" si="2"/>
        <v>3.5263605246161616</v>
      </c>
      <c r="Z6" s="148">
        <f t="shared" si="2"/>
        <v>2.5649493574615367</v>
      </c>
      <c r="AA6" s="148">
        <f t="shared" si="2"/>
        <v>2.509599262378372</v>
      </c>
      <c r="AB6" s="148">
        <f t="shared" si="2"/>
        <v>2.995732273553991</v>
      </c>
      <c r="AC6" s="148">
        <f t="shared" si="2"/>
        <v>3.044522437723423</v>
      </c>
      <c r="AD6" s="148">
        <f t="shared" si="2"/>
        <v>3.4011973816621555</v>
      </c>
      <c r="AE6" s="148">
        <f t="shared" si="2"/>
        <v>3.131136910560194</v>
      </c>
      <c r="AF6" s="148">
        <f t="shared" si="2"/>
        <v>3.4688560301359703</v>
      </c>
      <c r="AG6" s="148">
        <f t="shared" si="2"/>
        <v>3.4011973816621555</v>
      </c>
      <c r="AH6" s="148">
        <f t="shared" si="2"/>
        <v>3.254242968705492</v>
      </c>
      <c r="AI6" s="146" t="s">
        <v>393</v>
      </c>
      <c r="AJ6" s="146" t="s">
        <v>392</v>
      </c>
    </row>
    <row r="7" spans="1:36" ht="12.75">
      <c r="A7" s="147"/>
      <c r="B7" s="147"/>
      <c r="C7" s="147"/>
      <c r="D7" s="147"/>
      <c r="E7" s="147"/>
      <c r="F7" s="147"/>
      <c r="G7" s="147"/>
      <c r="H7" s="147"/>
      <c r="I7" s="147"/>
      <c r="J7" s="146"/>
      <c r="K7" s="146"/>
      <c r="L7" s="146"/>
      <c r="M7" s="146"/>
      <c r="N7" s="146"/>
      <c r="O7" s="146"/>
      <c r="P7" s="146"/>
      <c r="Q7" s="146"/>
      <c r="R7" s="146"/>
      <c r="S7" s="148">
        <f aca="true" t="shared" si="3" ref="S7:AA7">(20.02*S6)</f>
        <v>102.341995522898</v>
      </c>
      <c r="T7" s="148">
        <f t="shared" si="3"/>
        <v>104.42041499837092</v>
      </c>
      <c r="U7" s="148">
        <f t="shared" si="3"/>
        <v>101.88578373907771</v>
      </c>
      <c r="V7" s="148">
        <f t="shared" si="3"/>
        <v>102.57103099385897</v>
      </c>
      <c r="W7" s="148">
        <f t="shared" si="3"/>
        <v>89.41438279376447</v>
      </c>
      <c r="X7" s="148">
        <f t="shared" si="3"/>
        <v>74.30171812946497</v>
      </c>
      <c r="Y7" s="148">
        <f t="shared" si="3"/>
        <v>70.59773770281555</v>
      </c>
      <c r="Z7" s="148">
        <f t="shared" si="3"/>
        <v>51.350286136379964</v>
      </c>
      <c r="AA7" s="148">
        <f t="shared" si="3"/>
        <v>50.24217723281501</v>
      </c>
      <c r="AB7" s="148">
        <f aca="true" t="shared" si="4" ref="AB7:AH7">LN(K5)</f>
        <v>1.4586150226995167</v>
      </c>
      <c r="AC7" s="148">
        <f t="shared" si="4"/>
        <v>1.9740810260220096</v>
      </c>
      <c r="AD7" s="148">
        <f t="shared" si="4"/>
        <v>2.2617630984737906</v>
      </c>
      <c r="AE7" s="148">
        <f t="shared" si="4"/>
        <v>2.2823823856765264</v>
      </c>
      <c r="AF7" s="148">
        <f t="shared" si="4"/>
        <v>2.3702437414678603</v>
      </c>
      <c r="AG7" s="148">
        <f t="shared" si="4"/>
        <v>2.0149030205422647</v>
      </c>
      <c r="AH7" s="148">
        <f t="shared" si="4"/>
        <v>1.9600947840472698</v>
      </c>
      <c r="AI7" s="146" t="s">
        <v>390</v>
      </c>
      <c r="AJ7" s="146" t="s">
        <v>389</v>
      </c>
    </row>
    <row r="8" spans="1:35" ht="12.75">
      <c r="A8" s="146" t="s">
        <v>398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8"/>
      <c r="U8" s="148"/>
      <c r="V8" s="148"/>
      <c r="W8" s="148"/>
      <c r="X8" s="148"/>
      <c r="Y8" s="146"/>
      <c r="Z8" s="147"/>
      <c r="AA8" s="147"/>
      <c r="AB8" s="147"/>
      <c r="AI8" s="147"/>
    </row>
    <row r="9" spans="1:35" ht="12.75">
      <c r="A9" s="146"/>
      <c r="B9" s="146"/>
      <c r="C9" s="146">
        <v>1991</v>
      </c>
      <c r="D9" s="146">
        <v>1992</v>
      </c>
      <c r="E9" s="146">
        <v>1993</v>
      </c>
      <c r="F9" s="146">
        <v>1994</v>
      </c>
      <c r="G9" s="146">
        <v>1995</v>
      </c>
      <c r="H9" s="146">
        <v>1996</v>
      </c>
      <c r="I9" s="146">
        <v>1997</v>
      </c>
      <c r="J9" s="146">
        <v>1998</v>
      </c>
      <c r="K9" s="146">
        <v>1999</v>
      </c>
      <c r="L9" s="146">
        <v>2000</v>
      </c>
      <c r="M9" s="146">
        <v>2001</v>
      </c>
      <c r="N9" s="146">
        <v>2002</v>
      </c>
      <c r="O9" s="146">
        <v>2003</v>
      </c>
      <c r="P9" s="146">
        <v>2004</v>
      </c>
      <c r="Q9" s="146">
        <v>2005</v>
      </c>
      <c r="R9" s="146" t="s">
        <v>382</v>
      </c>
      <c r="S9" s="148">
        <f aca="true" t="shared" si="5" ref="S9:AH9">LN(1/B6-0.08)</f>
        <v>-0.6247698831152083</v>
      </c>
      <c r="T9" s="148">
        <f t="shared" si="5"/>
        <v>-0.9654035287290765</v>
      </c>
      <c r="U9" s="148">
        <f t="shared" si="5"/>
        <v>-0.9258601828903059</v>
      </c>
      <c r="V9" s="148">
        <f t="shared" si="5"/>
        <v>-1.3015390482569433</v>
      </c>
      <c r="W9" s="148">
        <f t="shared" si="5"/>
        <v>-0.7367663797012618</v>
      </c>
      <c r="X9" s="148">
        <f t="shared" si="5"/>
        <v>-0.9485822365106786</v>
      </c>
      <c r="Y9" s="148">
        <f t="shared" si="5"/>
        <v>-2.0733694790422286</v>
      </c>
      <c r="Z9" s="148">
        <f t="shared" si="5"/>
        <v>-1.4164210665233978</v>
      </c>
      <c r="AA9" s="148">
        <f t="shared" si="5"/>
        <v>-1.2032126370525384</v>
      </c>
      <c r="AB9" s="148">
        <f t="shared" si="5"/>
        <v>-0.9258601828903059</v>
      </c>
      <c r="AC9" s="148">
        <f t="shared" si="5"/>
        <v>-1.1040591949302418</v>
      </c>
      <c r="AD9" s="148">
        <f t="shared" si="5"/>
        <v>-0.8675005677047231</v>
      </c>
      <c r="AE9" s="148">
        <f t="shared" si="5"/>
        <v>-1.036250046953134</v>
      </c>
      <c r="AF9" s="148">
        <f t="shared" si="5"/>
        <v>-0.8067285293626288</v>
      </c>
      <c r="AG9" s="148">
        <f t="shared" si="5"/>
        <v>-1.1394342831883648</v>
      </c>
      <c r="AH9" s="148">
        <f t="shared" si="5"/>
        <v>-0.9258601828903059</v>
      </c>
      <c r="AI9" s="147"/>
    </row>
    <row r="10" spans="1:35" ht="12.75">
      <c r="A10" s="146" t="s">
        <v>366</v>
      </c>
      <c r="B10" s="146"/>
      <c r="C10" s="146">
        <v>191.83</v>
      </c>
      <c r="D10" s="146">
        <v>181.66</v>
      </c>
      <c r="E10" s="146">
        <v>206.9</v>
      </c>
      <c r="F10" s="146">
        <v>92.27</v>
      </c>
      <c r="G10" s="146">
        <v>58.4</v>
      </c>
      <c r="H10" s="149">
        <v>37.64705882352942</v>
      </c>
      <c r="I10" s="149">
        <v>14.392857</v>
      </c>
      <c r="J10" s="147">
        <v>15.6</v>
      </c>
      <c r="K10" s="146">
        <v>27.1</v>
      </c>
      <c r="L10" s="146">
        <v>15</v>
      </c>
      <c r="M10" s="146">
        <v>30</v>
      </c>
      <c r="N10" s="146">
        <v>25</v>
      </c>
      <c r="O10" s="146">
        <v>38</v>
      </c>
      <c r="P10" s="146">
        <v>39.5</v>
      </c>
      <c r="Q10" s="146">
        <v>26.6</v>
      </c>
      <c r="R10" s="146"/>
      <c r="S10" s="148">
        <f aca="true" t="shared" si="6" ref="S10:AH10">75.3+(19.46*S9)</f>
        <v>63.14197807457804</v>
      </c>
      <c r="T10" s="148">
        <f t="shared" si="6"/>
        <v>56.51324733093217</v>
      </c>
      <c r="U10" s="148">
        <f t="shared" si="6"/>
        <v>57.282760840954644</v>
      </c>
      <c r="V10" s="148">
        <f t="shared" si="6"/>
        <v>49.972050120919874</v>
      </c>
      <c r="W10" s="148">
        <f t="shared" si="6"/>
        <v>60.96252625101344</v>
      </c>
      <c r="X10" s="148">
        <f t="shared" si="6"/>
        <v>56.840589677502194</v>
      </c>
      <c r="Y10" s="148">
        <f t="shared" si="6"/>
        <v>34.952229937838226</v>
      </c>
      <c r="Z10" s="148">
        <f t="shared" si="6"/>
        <v>47.73644604545467</v>
      </c>
      <c r="AA10" s="148">
        <f t="shared" si="6"/>
        <v>51.885482082957594</v>
      </c>
      <c r="AB10" s="148">
        <f t="shared" si="6"/>
        <v>57.282760840954644</v>
      </c>
      <c r="AC10" s="148">
        <f t="shared" si="6"/>
        <v>53.81500806665749</v>
      </c>
      <c r="AD10" s="148">
        <f t="shared" si="6"/>
        <v>58.41843895246609</v>
      </c>
      <c r="AE10" s="148">
        <f t="shared" si="6"/>
        <v>55.134574086292005</v>
      </c>
      <c r="AF10" s="148">
        <f t="shared" si="6"/>
        <v>59.60106281860324</v>
      </c>
      <c r="AG10" s="148">
        <f t="shared" si="6"/>
        <v>53.126608849154415</v>
      </c>
      <c r="AH10" s="148">
        <f t="shared" si="6"/>
        <v>57.282760840954644</v>
      </c>
      <c r="AI10" s="147"/>
    </row>
    <row r="11" spans="1:35" ht="12.75">
      <c r="A11" s="146" t="s">
        <v>391</v>
      </c>
      <c r="B11" s="146"/>
      <c r="C11" s="146">
        <v>3.99</v>
      </c>
      <c r="D11" s="146">
        <v>11.78</v>
      </c>
      <c r="E11" s="146">
        <v>14.4</v>
      </c>
      <c r="F11" s="146">
        <v>26.4</v>
      </c>
      <c r="G11" s="146">
        <v>10.96</v>
      </c>
      <c r="H11" s="146">
        <v>3.31</v>
      </c>
      <c r="I11" s="146">
        <v>2.322</v>
      </c>
      <c r="J11" s="146">
        <v>3.8</v>
      </c>
      <c r="K11" s="146">
        <v>4.2</v>
      </c>
      <c r="L11" s="146">
        <v>6.24</v>
      </c>
      <c r="M11" s="146">
        <v>10.4</v>
      </c>
      <c r="N11" s="146">
        <v>9.1</v>
      </c>
      <c r="O11" s="146">
        <v>10</v>
      </c>
      <c r="P11" s="146">
        <v>9.5</v>
      </c>
      <c r="Q11" s="146">
        <v>6.8</v>
      </c>
      <c r="R11" s="146"/>
      <c r="S11" s="146"/>
      <c r="T11" s="146"/>
      <c r="U11" s="146"/>
      <c r="V11" s="146"/>
      <c r="W11" s="146"/>
      <c r="X11" s="146"/>
      <c r="Y11" s="146"/>
      <c r="Z11" s="147"/>
      <c r="AA11" s="147"/>
      <c r="AB11" s="147"/>
      <c r="AI11" s="147"/>
    </row>
    <row r="12" spans="1:35" ht="12.75">
      <c r="A12" s="146" t="s">
        <v>284</v>
      </c>
      <c r="B12" s="146"/>
      <c r="C12" s="146">
        <v>2.03</v>
      </c>
      <c r="D12" s="146">
        <v>2.12</v>
      </c>
      <c r="E12" s="146">
        <v>2.23</v>
      </c>
      <c r="F12" s="146">
        <v>1.7</v>
      </c>
      <c r="G12" s="146">
        <v>1.24</v>
      </c>
      <c r="H12" s="146">
        <v>6</v>
      </c>
      <c r="I12" s="146">
        <v>3.3</v>
      </c>
      <c r="J12" s="146">
        <v>2.6</v>
      </c>
      <c r="K12" s="146">
        <v>1.9</v>
      </c>
      <c r="L12" s="146">
        <v>2.25</v>
      </c>
      <c r="M12" s="146">
        <v>1.9</v>
      </c>
      <c r="N12" s="146">
        <v>2.5</v>
      </c>
      <c r="O12" s="146">
        <v>1.8</v>
      </c>
      <c r="P12" s="146">
        <v>2.3</v>
      </c>
      <c r="Q12" s="146">
        <v>2.4</v>
      </c>
      <c r="R12" s="146" t="s">
        <v>381</v>
      </c>
      <c r="S12" s="150">
        <f aca="true" t="shared" si="7" ref="S12:AA12">(S10+S7+S4)/3</f>
        <v>71.4946123063135</v>
      </c>
      <c r="T12" s="150">
        <f t="shared" si="7"/>
        <v>74.99531890994761</v>
      </c>
      <c r="U12" s="150">
        <f t="shared" si="7"/>
        <v>73.87831404558908</v>
      </c>
      <c r="V12" s="150">
        <f t="shared" si="7"/>
        <v>68.02198017511405</v>
      </c>
      <c r="W12" s="150">
        <f t="shared" si="7"/>
        <v>71.29403754003324</v>
      </c>
      <c r="X12" s="150">
        <f t="shared" si="7"/>
        <v>58.202551374559135</v>
      </c>
      <c r="Y12" s="150">
        <f t="shared" si="7"/>
        <v>48.391749845623046</v>
      </c>
      <c r="Z12" s="150">
        <f t="shared" si="7"/>
        <v>43.69909391151961</v>
      </c>
      <c r="AA12" s="150">
        <f t="shared" si="7"/>
        <v>47.38467633852835</v>
      </c>
      <c r="AB12" s="150">
        <f aca="true" t="shared" si="8" ref="AB12:AH12">(AB10+AB7+AB4)/3</f>
        <v>33.258201496993735</v>
      </c>
      <c r="AC12" s="150">
        <f t="shared" si="8"/>
        <v>34.75177916263896</v>
      </c>
      <c r="AD12" s="150">
        <f t="shared" si="8"/>
        <v>37.76494197697732</v>
      </c>
      <c r="AE12" s="150">
        <f t="shared" si="8"/>
        <v>36.77630349114135</v>
      </c>
      <c r="AF12" s="150">
        <f t="shared" si="8"/>
        <v>38.716740437345884</v>
      </c>
      <c r="AG12" s="150">
        <f t="shared" si="8"/>
        <v>34.73213780863871</v>
      </c>
      <c r="AH12" s="150">
        <f t="shared" si="8"/>
        <v>35.835807470321186</v>
      </c>
      <c r="AI12" s="147"/>
    </row>
    <row r="13" spans="1:35" ht="12.75">
      <c r="A13" s="147"/>
      <c r="B13" s="147"/>
      <c r="C13" s="147"/>
      <c r="D13" s="147"/>
      <c r="E13" s="147"/>
      <c r="F13" s="147"/>
      <c r="G13" s="147"/>
      <c r="H13" s="147"/>
      <c r="I13" s="147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 t="s">
        <v>388</v>
      </c>
      <c r="U13" s="146" t="s">
        <v>388</v>
      </c>
      <c r="V13" s="146" t="s">
        <v>388</v>
      </c>
      <c r="W13" s="146" t="s">
        <v>388</v>
      </c>
      <c r="X13" s="146" t="s">
        <v>387</v>
      </c>
      <c r="Y13" s="146" t="s">
        <v>378</v>
      </c>
      <c r="Z13" s="146" t="s">
        <v>359</v>
      </c>
      <c r="AA13" s="146" t="s">
        <v>378</v>
      </c>
      <c r="AB13" s="147" t="s">
        <v>406</v>
      </c>
      <c r="AC13" s="147"/>
      <c r="AD13" s="147"/>
      <c r="AE13" s="147"/>
      <c r="AF13" s="147"/>
      <c r="AG13" s="147"/>
      <c r="AH13" s="147"/>
      <c r="AI13" s="147"/>
    </row>
    <row r="14" spans="1:35" ht="12.75">
      <c r="A14" s="147"/>
      <c r="B14" s="147"/>
      <c r="C14" s="147"/>
      <c r="D14" s="147"/>
      <c r="E14" s="147"/>
      <c r="F14" s="147"/>
      <c r="G14" s="147"/>
      <c r="H14" s="147"/>
      <c r="I14" s="147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8"/>
      <c r="U14" s="148"/>
      <c r="V14" s="148"/>
      <c r="W14" s="148"/>
      <c r="X14" s="148"/>
      <c r="Y14" s="146"/>
      <c r="Z14" s="146"/>
      <c r="AA14" s="146"/>
      <c r="AB14" s="147"/>
      <c r="AC14" s="147"/>
      <c r="AD14" s="147"/>
      <c r="AE14" s="147"/>
      <c r="AF14" s="147"/>
      <c r="AG14" s="147"/>
      <c r="AH14" s="147"/>
      <c r="AI14" s="147"/>
    </row>
    <row r="15" spans="1:35" ht="12.75">
      <c r="A15" s="147"/>
      <c r="B15" s="147"/>
      <c r="C15" s="147"/>
      <c r="D15" s="147"/>
      <c r="E15" s="147"/>
      <c r="F15" s="147"/>
      <c r="G15" s="147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 t="s">
        <v>386</v>
      </c>
      <c r="S15" s="146"/>
      <c r="T15" s="148"/>
      <c r="U15" s="148"/>
      <c r="V15" s="148"/>
      <c r="W15" s="148"/>
      <c r="X15" s="148"/>
      <c r="Y15" s="146"/>
      <c r="Z15" s="146"/>
      <c r="AA15" s="146"/>
      <c r="AB15" s="147"/>
      <c r="AC15" s="147"/>
      <c r="AD15" s="147"/>
      <c r="AE15" s="147"/>
      <c r="AF15" s="147"/>
      <c r="AG15" s="147"/>
      <c r="AH15" s="147"/>
      <c r="AI15" s="147"/>
    </row>
    <row r="16" spans="1:35" ht="12.75">
      <c r="A16" s="146" t="s">
        <v>385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>
        <v>1988</v>
      </c>
      <c r="T16" s="151">
        <v>1991</v>
      </c>
      <c r="U16" s="151">
        <v>1992</v>
      </c>
      <c r="V16" s="151">
        <v>1993</v>
      </c>
      <c r="W16" s="151">
        <v>1994</v>
      </c>
      <c r="X16" s="151">
        <v>1995</v>
      </c>
      <c r="Y16" s="146">
        <v>1996</v>
      </c>
      <c r="Z16" s="146">
        <v>1997</v>
      </c>
      <c r="AA16" s="146">
        <v>1998</v>
      </c>
      <c r="AB16" s="147">
        <v>1999</v>
      </c>
      <c r="AC16" s="147">
        <v>2000</v>
      </c>
      <c r="AD16" s="147">
        <v>2001</v>
      </c>
      <c r="AE16" s="147">
        <v>2002</v>
      </c>
      <c r="AF16" s="147">
        <v>2003</v>
      </c>
      <c r="AG16" s="147">
        <v>2004</v>
      </c>
      <c r="AH16" s="147">
        <v>2005</v>
      </c>
      <c r="AI16" s="147"/>
    </row>
    <row r="17" spans="1:35" ht="12.75">
      <c r="A17" s="146"/>
      <c r="B17" s="146">
        <v>1988</v>
      </c>
      <c r="C17" s="146">
        <v>1991</v>
      </c>
      <c r="D17" s="146">
        <v>1992</v>
      </c>
      <c r="E17" s="146">
        <v>1993</v>
      </c>
      <c r="F17" s="146">
        <v>1994</v>
      </c>
      <c r="G17" s="146">
        <v>1995</v>
      </c>
      <c r="H17" s="146">
        <v>1996</v>
      </c>
      <c r="I17" s="146">
        <v>1997</v>
      </c>
      <c r="J17" s="146">
        <v>1998</v>
      </c>
      <c r="K17" s="146">
        <v>1999</v>
      </c>
      <c r="L17" s="146">
        <v>2000</v>
      </c>
      <c r="M17" s="146">
        <v>2001</v>
      </c>
      <c r="N17" s="146">
        <v>2002</v>
      </c>
      <c r="O17" s="146">
        <v>2003</v>
      </c>
      <c r="P17" s="146">
        <v>2004</v>
      </c>
      <c r="Q17" s="146">
        <v>2005</v>
      </c>
      <c r="R17" s="146" t="s">
        <v>384</v>
      </c>
      <c r="S17" s="146"/>
      <c r="T17" s="148">
        <f aca="true" t="shared" si="9" ref="T17:AH17">LN(C11)</f>
        <v>1.3837912309017721</v>
      </c>
      <c r="U17" s="148">
        <f t="shared" si="9"/>
        <v>2.4664031782234406</v>
      </c>
      <c r="V17" s="148">
        <f t="shared" si="9"/>
        <v>2.667228206581955</v>
      </c>
      <c r="W17" s="148">
        <f t="shared" si="9"/>
        <v>3.2733640101522705</v>
      </c>
      <c r="X17" s="148">
        <f t="shared" si="9"/>
        <v>2.3942522815198695</v>
      </c>
      <c r="Y17" s="148">
        <f t="shared" si="9"/>
        <v>1.1969481893889715</v>
      </c>
      <c r="Z17" s="148">
        <f t="shared" si="9"/>
        <v>0.8424288832756998</v>
      </c>
      <c r="AA17" s="148">
        <f t="shared" si="9"/>
        <v>1.33500106673234</v>
      </c>
      <c r="AB17" s="148">
        <f t="shared" si="9"/>
        <v>1.4350845252893227</v>
      </c>
      <c r="AC17" s="148">
        <f t="shared" si="9"/>
        <v>1.8309801823813363</v>
      </c>
      <c r="AD17" s="148">
        <f t="shared" si="9"/>
        <v>2.341805806147327</v>
      </c>
      <c r="AE17" s="148">
        <f t="shared" si="9"/>
        <v>2.2082744135228043</v>
      </c>
      <c r="AF17" s="148">
        <f t="shared" si="9"/>
        <v>2.302585092994046</v>
      </c>
      <c r="AG17" s="148">
        <f t="shared" si="9"/>
        <v>2.2512917986064953</v>
      </c>
      <c r="AH17" s="148">
        <f t="shared" si="9"/>
        <v>1.916922612182061</v>
      </c>
      <c r="AI17" s="147"/>
    </row>
    <row r="18" spans="1:35" ht="12.75">
      <c r="A18" s="146" t="s">
        <v>377</v>
      </c>
      <c r="B18" s="148">
        <f aca="true" t="shared" si="10" ref="B18:P18">LN(B6)</f>
        <v>0.4855078157817008</v>
      </c>
      <c r="C18" s="148">
        <f t="shared" si="10"/>
        <v>0.7747271675523681</v>
      </c>
      <c r="D18" s="148">
        <f t="shared" si="10"/>
        <v>0.7419373447293773</v>
      </c>
      <c r="E18" s="148">
        <f t="shared" si="10"/>
        <v>1.0438040521731147</v>
      </c>
      <c r="F18" s="148">
        <f t="shared" si="10"/>
        <v>0.5822156198526637</v>
      </c>
      <c r="G18" s="148">
        <f t="shared" si="10"/>
        <v>0.7608058290337602</v>
      </c>
      <c r="H18" s="148">
        <f t="shared" si="10"/>
        <v>1.5810384379124025</v>
      </c>
      <c r="I18" s="148">
        <f t="shared" si="10"/>
        <v>1.1314021114911006</v>
      </c>
      <c r="J18" s="148">
        <f t="shared" si="10"/>
        <v>0.9669838461896731</v>
      </c>
      <c r="K18" s="148">
        <f t="shared" si="10"/>
        <v>0.7419373447293773</v>
      </c>
      <c r="L18" s="148">
        <f t="shared" si="10"/>
        <v>0.8878912573524571</v>
      </c>
      <c r="M18" s="148">
        <f t="shared" si="10"/>
        <v>0.6931471805599453</v>
      </c>
      <c r="N18" s="148">
        <f t="shared" si="10"/>
        <v>0.8329091229351039</v>
      </c>
      <c r="O18" s="148">
        <f t="shared" si="10"/>
        <v>0.6418538861723947</v>
      </c>
      <c r="P18" s="148">
        <f t="shared" si="10"/>
        <v>0.9162907318741551</v>
      </c>
      <c r="Q18" s="148">
        <f>LN(Q6)</f>
        <v>0.7419373447293773</v>
      </c>
      <c r="R18" s="146"/>
      <c r="S18" s="146"/>
      <c r="T18" s="148">
        <f aca="true" t="shared" si="11" ref="T18:AH18">20+(14.42*T17)</f>
        <v>39.95426954960355</v>
      </c>
      <c r="U18" s="148">
        <f t="shared" si="11"/>
        <v>55.565533829982016</v>
      </c>
      <c r="V18" s="148">
        <f t="shared" si="11"/>
        <v>58.46143073891179</v>
      </c>
      <c r="W18" s="148">
        <f t="shared" si="11"/>
        <v>67.20190902639574</v>
      </c>
      <c r="X18" s="148">
        <f t="shared" si="11"/>
        <v>54.525117899516516</v>
      </c>
      <c r="Y18" s="148">
        <f t="shared" si="11"/>
        <v>37.25999289098897</v>
      </c>
      <c r="Z18" s="148">
        <f t="shared" si="11"/>
        <v>32.14782449683559</v>
      </c>
      <c r="AA18" s="148">
        <f t="shared" si="11"/>
        <v>39.25071538228035</v>
      </c>
      <c r="AB18" s="148">
        <f t="shared" si="11"/>
        <v>40.693918854672035</v>
      </c>
      <c r="AC18" s="148">
        <f t="shared" si="11"/>
        <v>46.40273422993887</v>
      </c>
      <c r="AD18" s="148">
        <f t="shared" si="11"/>
        <v>53.76883972464446</v>
      </c>
      <c r="AE18" s="148">
        <f t="shared" si="11"/>
        <v>51.843317042998834</v>
      </c>
      <c r="AF18" s="148">
        <f t="shared" si="11"/>
        <v>53.20327704097414</v>
      </c>
      <c r="AG18" s="148">
        <f t="shared" si="11"/>
        <v>52.46362773590566</v>
      </c>
      <c r="AH18" s="148">
        <f t="shared" si="11"/>
        <v>47.64202406766532</v>
      </c>
      <c r="AI18" s="147"/>
    </row>
    <row r="19" spans="1:35" ht="12.75">
      <c r="A19" s="146"/>
      <c r="B19" s="148">
        <f aca="true" t="shared" si="12" ref="B19:Q19">60-(14.41*B18)</f>
        <v>53.00383237458569</v>
      </c>
      <c r="C19" s="148">
        <f t="shared" si="12"/>
        <v>48.836181515570374</v>
      </c>
      <c r="D19" s="148">
        <f t="shared" si="12"/>
        <v>49.30868286244967</v>
      </c>
      <c r="E19" s="148">
        <f t="shared" si="12"/>
        <v>44.95878360818541</v>
      </c>
      <c r="F19" s="148">
        <f t="shared" si="12"/>
        <v>51.61027291792311</v>
      </c>
      <c r="G19" s="148">
        <f t="shared" si="12"/>
        <v>49.03678800362351</v>
      </c>
      <c r="H19" s="148">
        <f t="shared" si="12"/>
        <v>37.217236109682275</v>
      </c>
      <c r="I19" s="148">
        <f t="shared" si="12"/>
        <v>43.696495573413245</v>
      </c>
      <c r="J19" s="148">
        <f t="shared" si="12"/>
        <v>46.065762776406814</v>
      </c>
      <c r="K19" s="148">
        <f t="shared" si="12"/>
        <v>49.30868286244967</v>
      </c>
      <c r="L19" s="148">
        <f t="shared" si="12"/>
        <v>47.20548698155109</v>
      </c>
      <c r="M19" s="148">
        <f t="shared" si="12"/>
        <v>50.011749128131186</v>
      </c>
      <c r="N19" s="148">
        <f t="shared" si="12"/>
        <v>47.997779538505156</v>
      </c>
      <c r="O19" s="148">
        <f t="shared" si="12"/>
        <v>50.75088550025579</v>
      </c>
      <c r="P19" s="148">
        <f t="shared" si="12"/>
        <v>46.796250553693426</v>
      </c>
      <c r="Q19" s="148">
        <f t="shared" si="12"/>
        <v>49.30868286244967</v>
      </c>
      <c r="R19" s="146"/>
      <c r="S19" s="146"/>
      <c r="T19" s="148"/>
      <c r="U19" s="148"/>
      <c r="V19" s="148"/>
      <c r="W19" s="148"/>
      <c r="X19" s="148"/>
      <c r="Y19" s="148"/>
      <c r="Z19" s="148"/>
      <c r="AA19" s="148"/>
      <c r="AB19" s="148"/>
      <c r="AC19" s="147"/>
      <c r="AD19" s="147"/>
      <c r="AE19" s="147"/>
      <c r="AF19" s="147"/>
      <c r="AG19" s="147"/>
      <c r="AH19" s="147"/>
      <c r="AI19" s="147"/>
    </row>
    <row r="20" spans="1:35" ht="12.75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 t="s">
        <v>383</v>
      </c>
      <c r="S20" s="146"/>
      <c r="T20" s="148">
        <f aca="true" t="shared" si="13" ref="T20:AH20">LN(C10)</f>
        <v>5.256609563148246</v>
      </c>
      <c r="U20" s="148">
        <f t="shared" si="13"/>
        <v>5.2021368080740675</v>
      </c>
      <c r="V20" s="148">
        <f t="shared" si="13"/>
        <v>5.332235584751498</v>
      </c>
      <c r="W20" s="148">
        <f t="shared" si="13"/>
        <v>4.524719061590464</v>
      </c>
      <c r="X20" s="148">
        <f t="shared" si="13"/>
        <v>4.067315889834181</v>
      </c>
      <c r="Y20" s="148">
        <f t="shared" si="13"/>
        <v>3.6282548322975017</v>
      </c>
      <c r="Z20" s="148">
        <f t="shared" si="13"/>
        <v>2.6667320418459206</v>
      </c>
      <c r="AA20" s="148">
        <f t="shared" si="13"/>
        <v>2.747270914255491</v>
      </c>
      <c r="AB20" s="148">
        <f t="shared" si="13"/>
        <v>3.299533727885655</v>
      </c>
      <c r="AC20" s="148">
        <f t="shared" si="13"/>
        <v>2.70805020110221</v>
      </c>
      <c r="AD20" s="148">
        <f t="shared" si="13"/>
        <v>3.4011973816621555</v>
      </c>
      <c r="AE20" s="148">
        <f t="shared" si="13"/>
        <v>3.2188758248682006</v>
      </c>
      <c r="AF20" s="148">
        <f t="shared" si="13"/>
        <v>3.6375861597263857</v>
      </c>
      <c r="AG20" s="148">
        <f t="shared" si="13"/>
        <v>3.676300671907076</v>
      </c>
      <c r="AH20" s="148">
        <f t="shared" si="13"/>
        <v>3.2809112157876537</v>
      </c>
      <c r="AI20" s="147"/>
    </row>
    <row r="21" spans="1:35" ht="12.75">
      <c r="A21" s="146" t="s">
        <v>376</v>
      </c>
      <c r="B21" s="148">
        <f aca="true" t="shared" si="14" ref="B21:P21">LN(B5)</f>
        <v>2.011086222015564</v>
      </c>
      <c r="C21" s="148">
        <f t="shared" si="14"/>
        <v>3.054944133185837</v>
      </c>
      <c r="D21" s="148">
        <f t="shared" si="14"/>
        <v>2.944965156500338</v>
      </c>
      <c r="E21" s="148">
        <f t="shared" si="14"/>
        <v>2.186051276738094</v>
      </c>
      <c r="F21" s="148">
        <f t="shared" si="14"/>
        <v>3.0170044088295307</v>
      </c>
      <c r="G21" s="148">
        <f t="shared" si="14"/>
        <v>1.6272778305624314</v>
      </c>
      <c r="H21" s="148">
        <f t="shared" si="14"/>
        <v>1.3609765531356006</v>
      </c>
      <c r="I21" s="148">
        <f t="shared" si="14"/>
        <v>0.8329091229351039</v>
      </c>
      <c r="J21" s="148">
        <f t="shared" si="14"/>
        <v>1.3887912413184778</v>
      </c>
      <c r="K21" s="148">
        <f t="shared" si="14"/>
        <v>1.4586150226995167</v>
      </c>
      <c r="L21" s="148">
        <f t="shared" si="14"/>
        <v>1.9740810260220096</v>
      </c>
      <c r="M21" s="148">
        <f t="shared" si="14"/>
        <v>2.2617630984737906</v>
      </c>
      <c r="N21" s="148">
        <f t="shared" si="14"/>
        <v>2.2823823856765264</v>
      </c>
      <c r="O21" s="148">
        <f t="shared" si="14"/>
        <v>2.3702437414678603</v>
      </c>
      <c r="P21" s="148">
        <f t="shared" si="14"/>
        <v>2.0149030205422647</v>
      </c>
      <c r="Q21" s="148">
        <f>LN(Q5)</f>
        <v>1.9600947840472698</v>
      </c>
      <c r="R21" s="146"/>
      <c r="S21" s="146"/>
      <c r="T21" s="148">
        <f aca="true" t="shared" si="15" ref="T21:AA21">(20.02*T20)</f>
        <v>105.23732345422789</v>
      </c>
      <c r="U21" s="148">
        <f t="shared" si="15"/>
        <v>104.14677889764283</v>
      </c>
      <c r="V21" s="148">
        <f t="shared" si="15"/>
        <v>106.75135640672498</v>
      </c>
      <c r="W21" s="148">
        <f t="shared" si="15"/>
        <v>90.58487561304109</v>
      </c>
      <c r="X21" s="148">
        <f t="shared" si="15"/>
        <v>81.42766411448031</v>
      </c>
      <c r="Y21" s="148">
        <f t="shared" si="15"/>
        <v>72.63766174259598</v>
      </c>
      <c r="Z21" s="148">
        <f t="shared" si="15"/>
        <v>53.387975477755326</v>
      </c>
      <c r="AA21" s="148">
        <f t="shared" si="15"/>
        <v>55.00036370339493</v>
      </c>
      <c r="AB21" s="148">
        <f aca="true" t="shared" si="16" ref="AB21:AH21">LN(K11)</f>
        <v>1.4350845252893227</v>
      </c>
      <c r="AC21" s="148">
        <f t="shared" si="16"/>
        <v>1.8309801823813363</v>
      </c>
      <c r="AD21" s="148">
        <f t="shared" si="16"/>
        <v>2.341805806147327</v>
      </c>
      <c r="AE21" s="148">
        <f t="shared" si="16"/>
        <v>2.2082744135228043</v>
      </c>
      <c r="AF21" s="148">
        <f t="shared" si="16"/>
        <v>2.302585092994046</v>
      </c>
      <c r="AG21" s="148">
        <f t="shared" si="16"/>
        <v>2.2512917986064953</v>
      </c>
      <c r="AH21" s="148">
        <f t="shared" si="16"/>
        <v>1.916922612182061</v>
      </c>
      <c r="AI21" s="147"/>
    </row>
    <row r="22" spans="1:35" ht="12.75">
      <c r="A22" s="146"/>
      <c r="B22" s="148">
        <f aca="true" t="shared" si="17" ref="B22:Q22">(9.81*B21)+30.6</f>
        <v>50.32875583797268</v>
      </c>
      <c r="C22" s="148">
        <f t="shared" si="17"/>
        <v>60.56900194655306</v>
      </c>
      <c r="D22" s="148">
        <f t="shared" si="17"/>
        <v>59.49010818526831</v>
      </c>
      <c r="E22" s="148">
        <f t="shared" si="17"/>
        <v>52.04516302480071</v>
      </c>
      <c r="F22" s="148">
        <f t="shared" si="17"/>
        <v>60.196813250617694</v>
      </c>
      <c r="G22" s="148">
        <f t="shared" si="17"/>
        <v>46.563595517817454</v>
      </c>
      <c r="H22" s="148">
        <f t="shared" si="17"/>
        <v>43.95117998626024</v>
      </c>
      <c r="I22" s="148">
        <f t="shared" si="17"/>
        <v>38.770838495993374</v>
      </c>
      <c r="J22" s="148">
        <f t="shared" si="17"/>
        <v>44.22404207733427</v>
      </c>
      <c r="K22" s="148">
        <f t="shared" si="17"/>
        <v>44.90901337268226</v>
      </c>
      <c r="L22" s="148">
        <f t="shared" si="17"/>
        <v>49.96573486527592</v>
      </c>
      <c r="M22" s="148">
        <f t="shared" si="17"/>
        <v>52.787895996027885</v>
      </c>
      <c r="N22" s="148">
        <f t="shared" si="17"/>
        <v>52.990171203486724</v>
      </c>
      <c r="O22" s="148">
        <f t="shared" si="17"/>
        <v>53.85209110379971</v>
      </c>
      <c r="P22" s="148">
        <f t="shared" si="17"/>
        <v>50.36619863151962</v>
      </c>
      <c r="Q22" s="148">
        <f t="shared" si="17"/>
        <v>49.828529831503715</v>
      </c>
      <c r="R22" s="146"/>
      <c r="S22" s="146"/>
      <c r="T22" s="148"/>
      <c r="U22" s="148"/>
      <c r="V22" s="148"/>
      <c r="W22" s="148"/>
      <c r="X22" s="148"/>
      <c r="Y22" s="148"/>
      <c r="Z22" s="148"/>
      <c r="AA22" s="147"/>
      <c r="AB22" s="147"/>
      <c r="AC22" s="147"/>
      <c r="AD22" s="147"/>
      <c r="AE22" s="147"/>
      <c r="AF22" s="147"/>
      <c r="AG22" s="147"/>
      <c r="AH22" s="147"/>
      <c r="AI22" s="147"/>
    </row>
    <row r="23" spans="1:35" ht="12.75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6"/>
      <c r="L23" s="146"/>
      <c r="M23" s="146"/>
      <c r="N23" s="146"/>
      <c r="O23" s="146"/>
      <c r="P23" s="146"/>
      <c r="Q23" s="146"/>
      <c r="R23" s="146" t="s">
        <v>382</v>
      </c>
      <c r="S23" s="146"/>
      <c r="T23" s="148">
        <f aca="true" t="shared" si="18" ref="T23:AH23">LN(1/C12-0.08)</f>
        <v>-0.8852504124795058</v>
      </c>
      <c r="U23" s="148">
        <f t="shared" si="18"/>
        <v>-0.9372638552544341</v>
      </c>
      <c r="V23" s="148">
        <f t="shared" si="18"/>
        <v>-0.998503205839816</v>
      </c>
      <c r="W23" s="148">
        <f t="shared" si="18"/>
        <v>-0.6768107612402517</v>
      </c>
      <c r="X23" s="148">
        <f t="shared" si="18"/>
        <v>-0.31958340121365647</v>
      </c>
      <c r="Y23" s="148">
        <f t="shared" si="18"/>
        <v>-2.4456859366347192</v>
      </c>
      <c r="Z23" s="148">
        <f t="shared" si="18"/>
        <v>-1.5004476287256954</v>
      </c>
      <c r="AA23" s="148">
        <f t="shared" si="18"/>
        <v>-1.1887053321951477</v>
      </c>
      <c r="AB23" s="148">
        <f t="shared" si="18"/>
        <v>-0.8067285293626288</v>
      </c>
      <c r="AC23" s="148">
        <f t="shared" si="18"/>
        <v>-1.0093811549401672</v>
      </c>
      <c r="AD23" s="148">
        <f t="shared" si="18"/>
        <v>-0.8067285293626288</v>
      </c>
      <c r="AE23" s="148">
        <f t="shared" si="18"/>
        <v>-1.1394342831883648</v>
      </c>
      <c r="AF23" s="148">
        <f t="shared" si="18"/>
        <v>-0.7432715677425139</v>
      </c>
      <c r="AG23" s="148">
        <f t="shared" si="18"/>
        <v>-1.036250046953134</v>
      </c>
      <c r="AH23" s="148">
        <f t="shared" si="18"/>
        <v>-1.0886619578149417</v>
      </c>
      <c r="AI23" s="147"/>
    </row>
    <row r="24" spans="1:35" ht="12.75">
      <c r="A24" s="146" t="s">
        <v>375</v>
      </c>
      <c r="B24" s="148">
        <f aca="true" t="shared" si="19" ref="B24:P24">LN(B4)</f>
        <v>5.111987788356544</v>
      </c>
      <c r="C24" s="148">
        <f t="shared" si="19"/>
        <v>5.215804944973573</v>
      </c>
      <c r="D24" s="148">
        <f t="shared" si="19"/>
        <v>5.089199986966919</v>
      </c>
      <c r="E24" s="148">
        <f t="shared" si="19"/>
        <v>5.1234281215713775</v>
      </c>
      <c r="F24" s="148">
        <f t="shared" si="19"/>
        <v>4.466252886801422</v>
      </c>
      <c r="G24" s="148">
        <f t="shared" si="19"/>
        <v>3.711374531941307</v>
      </c>
      <c r="H24" s="148">
        <f t="shared" si="19"/>
        <v>3.5263605246161616</v>
      </c>
      <c r="I24" s="148">
        <f t="shared" si="19"/>
        <v>2.5649493574615367</v>
      </c>
      <c r="J24" s="148">
        <f t="shared" si="19"/>
        <v>2.509599262378372</v>
      </c>
      <c r="K24" s="148">
        <f t="shared" si="19"/>
        <v>2.995732273553991</v>
      </c>
      <c r="L24" s="148">
        <f t="shared" si="19"/>
        <v>3.044522437723423</v>
      </c>
      <c r="M24" s="148">
        <f t="shared" si="19"/>
        <v>3.4011973816621555</v>
      </c>
      <c r="N24" s="148">
        <f t="shared" si="19"/>
        <v>3.131136910560194</v>
      </c>
      <c r="O24" s="148">
        <f t="shared" si="19"/>
        <v>3.4688560301359703</v>
      </c>
      <c r="P24" s="148">
        <f t="shared" si="19"/>
        <v>3.4011973816621555</v>
      </c>
      <c r="Q24" s="148">
        <f>LN(Q4)</f>
        <v>3.254242968705492</v>
      </c>
      <c r="R24" s="146"/>
      <c r="S24" s="146"/>
      <c r="T24" s="148">
        <f aca="true" t="shared" si="20" ref="T24:AH24">75.3+(19.46*T23)</f>
        <v>58.073026973148814</v>
      </c>
      <c r="U24" s="148">
        <f t="shared" si="20"/>
        <v>57.06084537674871</v>
      </c>
      <c r="V24" s="148">
        <f t="shared" si="20"/>
        <v>55.869127614357176</v>
      </c>
      <c r="W24" s="148">
        <f t="shared" si="20"/>
        <v>62.1292625862647</v>
      </c>
      <c r="X24" s="148">
        <f t="shared" si="20"/>
        <v>69.08090701238224</v>
      </c>
      <c r="Y24" s="148">
        <f t="shared" si="20"/>
        <v>27.706951673088362</v>
      </c>
      <c r="Z24" s="148">
        <f t="shared" si="20"/>
        <v>46.10128914499796</v>
      </c>
      <c r="AA24" s="148">
        <f t="shared" si="20"/>
        <v>52.16779423548242</v>
      </c>
      <c r="AB24" s="148">
        <f t="shared" si="20"/>
        <v>59.60106281860324</v>
      </c>
      <c r="AC24" s="148">
        <f t="shared" si="20"/>
        <v>55.65744272486434</v>
      </c>
      <c r="AD24" s="148">
        <f t="shared" si="20"/>
        <v>59.60106281860324</v>
      </c>
      <c r="AE24" s="148">
        <f t="shared" si="20"/>
        <v>53.126608849154415</v>
      </c>
      <c r="AF24" s="148">
        <f t="shared" si="20"/>
        <v>60.83593529173068</v>
      </c>
      <c r="AG24" s="148">
        <f t="shared" si="20"/>
        <v>55.134574086292005</v>
      </c>
      <c r="AH24" s="148">
        <f t="shared" si="20"/>
        <v>54.11463830092123</v>
      </c>
      <c r="AI24" s="147"/>
    </row>
    <row r="25" spans="1:35" ht="12.75">
      <c r="A25" s="146"/>
      <c r="B25" s="148">
        <f aca="true" t="shared" si="21" ref="B25:Q25">(14.42*B24)+4.15</f>
        <v>77.86486390810137</v>
      </c>
      <c r="C25" s="148">
        <f t="shared" si="21"/>
        <v>79.36190730651892</v>
      </c>
      <c r="D25" s="148">
        <f t="shared" si="21"/>
        <v>77.53626381206297</v>
      </c>
      <c r="E25" s="148">
        <f t="shared" si="21"/>
        <v>78.02983351305927</v>
      </c>
      <c r="F25" s="148">
        <f t="shared" si="21"/>
        <v>68.55336662767651</v>
      </c>
      <c r="G25" s="148">
        <f t="shared" si="21"/>
        <v>57.66802075059365</v>
      </c>
      <c r="H25" s="148">
        <f t="shared" si="21"/>
        <v>55.000118764965045</v>
      </c>
      <c r="I25" s="148">
        <f t="shared" si="21"/>
        <v>41.136569734595355</v>
      </c>
      <c r="J25" s="148">
        <f t="shared" si="21"/>
        <v>40.338421363496124</v>
      </c>
      <c r="K25" s="148">
        <f t="shared" si="21"/>
        <v>47.34845938464855</v>
      </c>
      <c r="L25" s="148">
        <f t="shared" si="21"/>
        <v>48.05201355197176</v>
      </c>
      <c r="M25" s="148">
        <f t="shared" si="21"/>
        <v>53.19526624356828</v>
      </c>
      <c r="N25" s="148">
        <f t="shared" si="21"/>
        <v>49.300994250277995</v>
      </c>
      <c r="O25" s="148">
        <f t="shared" si="21"/>
        <v>54.17090395456069</v>
      </c>
      <c r="P25" s="148">
        <f t="shared" si="21"/>
        <v>53.19526624356828</v>
      </c>
      <c r="Q25" s="148">
        <f t="shared" si="21"/>
        <v>51.07618360873319</v>
      </c>
      <c r="R25" s="146"/>
      <c r="S25" s="146"/>
      <c r="T25" s="146"/>
      <c r="U25" s="146"/>
      <c r="V25" s="146"/>
      <c r="W25" s="146"/>
      <c r="X25" s="146"/>
      <c r="Y25" s="146"/>
      <c r="Z25" s="146"/>
      <c r="AA25" s="147"/>
      <c r="AB25" s="147"/>
      <c r="AC25" s="147"/>
      <c r="AD25" s="147"/>
      <c r="AE25" s="147"/>
      <c r="AF25" s="147"/>
      <c r="AG25" s="147"/>
      <c r="AH25" s="147"/>
      <c r="AI25" s="147"/>
    </row>
    <row r="26" spans="1:35" ht="12.75">
      <c r="A26" s="147" t="s">
        <v>457</v>
      </c>
      <c r="B26" s="212">
        <f>(B19+B22+B25)/3</f>
        <v>60.39915070688658</v>
      </c>
      <c r="C26" s="212">
        <f aca="true" t="shared" si="22" ref="C26:Q26">(C19+C22+C25)/3</f>
        <v>62.922363589547444</v>
      </c>
      <c r="D26" s="212">
        <f t="shared" si="22"/>
        <v>62.111684953260315</v>
      </c>
      <c r="E26" s="212">
        <f t="shared" si="22"/>
        <v>58.34459338201513</v>
      </c>
      <c r="F26" s="212">
        <f t="shared" si="22"/>
        <v>60.12015093207244</v>
      </c>
      <c r="G26" s="212">
        <f t="shared" si="22"/>
        <v>51.0894680906782</v>
      </c>
      <c r="H26" s="212">
        <f t="shared" si="22"/>
        <v>45.38951162030252</v>
      </c>
      <c r="I26" s="212">
        <f t="shared" si="22"/>
        <v>41.201301268000655</v>
      </c>
      <c r="J26" s="212">
        <f t="shared" si="22"/>
        <v>43.54274207241241</v>
      </c>
      <c r="K26" s="212">
        <f t="shared" si="22"/>
        <v>47.18871853992683</v>
      </c>
      <c r="L26" s="212">
        <f t="shared" si="22"/>
        <v>48.407745132932924</v>
      </c>
      <c r="M26" s="212">
        <f t="shared" si="22"/>
        <v>51.99830378924245</v>
      </c>
      <c r="N26" s="212">
        <f t="shared" si="22"/>
        <v>50.09631499742329</v>
      </c>
      <c r="O26" s="212">
        <f t="shared" si="22"/>
        <v>52.92462685287206</v>
      </c>
      <c r="P26" s="212">
        <f t="shared" si="22"/>
        <v>50.11923847626044</v>
      </c>
      <c r="Q26" s="212">
        <f t="shared" si="22"/>
        <v>50.07113210089553</v>
      </c>
      <c r="R26" s="146" t="s">
        <v>381</v>
      </c>
      <c r="S26" s="146" t="s">
        <v>457</v>
      </c>
      <c r="T26" s="150">
        <f aca="true" t="shared" si="23" ref="T26:AA26">(T24+T21+T18)/3</f>
        <v>67.75487332566009</v>
      </c>
      <c r="U26" s="150">
        <f t="shared" si="23"/>
        <v>72.25771936812453</v>
      </c>
      <c r="V26" s="150">
        <f t="shared" si="23"/>
        <v>73.69397158666465</v>
      </c>
      <c r="W26" s="150">
        <f t="shared" si="23"/>
        <v>73.30534907523385</v>
      </c>
      <c r="X26" s="150">
        <f t="shared" si="23"/>
        <v>68.34456300879302</v>
      </c>
      <c r="Y26" s="150">
        <f t="shared" si="23"/>
        <v>45.86820210222444</v>
      </c>
      <c r="Z26" s="150">
        <f t="shared" si="23"/>
        <v>43.87902970652963</v>
      </c>
      <c r="AA26" s="150">
        <f t="shared" si="23"/>
        <v>48.80629110705257</v>
      </c>
      <c r="AB26" s="150">
        <f aca="true" t="shared" si="24" ref="AB26:AH26">(AB24+AB21+AB18)/3</f>
        <v>33.9100220661882</v>
      </c>
      <c r="AC26" s="150">
        <f t="shared" si="24"/>
        <v>34.63038571239485</v>
      </c>
      <c r="AD26" s="150">
        <f t="shared" si="24"/>
        <v>38.57056944979834</v>
      </c>
      <c r="AE26" s="150">
        <f t="shared" si="24"/>
        <v>35.72606676855869</v>
      </c>
      <c r="AF26" s="150">
        <f t="shared" si="24"/>
        <v>38.78059914189962</v>
      </c>
      <c r="AG26" s="150">
        <f t="shared" si="24"/>
        <v>36.61649787360139</v>
      </c>
      <c r="AH26" s="150">
        <f t="shared" si="24"/>
        <v>34.5578616602562</v>
      </c>
      <c r="AI26" s="147"/>
    </row>
    <row r="27" spans="1:35" ht="12.75">
      <c r="A27" s="146" t="s">
        <v>380</v>
      </c>
      <c r="B27" s="146"/>
      <c r="C27" s="146"/>
      <c r="D27" s="146"/>
      <c r="E27" s="146"/>
      <c r="F27" s="146"/>
      <c r="G27" s="146"/>
      <c r="H27" s="146"/>
      <c r="I27" s="146"/>
      <c r="J27" s="147"/>
      <c r="K27" s="146"/>
      <c r="L27" s="146"/>
      <c r="M27" s="146"/>
      <c r="N27" s="146"/>
      <c r="O27" s="146"/>
      <c r="P27" s="146"/>
      <c r="Q27" s="146"/>
      <c r="R27" s="146"/>
      <c r="S27" s="146"/>
      <c r="T27" s="146" t="s">
        <v>379</v>
      </c>
      <c r="U27" s="146" t="s">
        <v>379</v>
      </c>
      <c r="V27" s="146" t="s">
        <v>379</v>
      </c>
      <c r="W27" s="146" t="s">
        <v>379</v>
      </c>
      <c r="X27" s="146" t="s">
        <v>379</v>
      </c>
      <c r="Y27" s="147" t="s">
        <v>378</v>
      </c>
      <c r="Z27" s="147" t="s">
        <v>359</v>
      </c>
      <c r="AA27" s="147" t="s">
        <v>378</v>
      </c>
      <c r="AB27" s="147" t="s">
        <v>406</v>
      </c>
      <c r="AC27" s="147"/>
      <c r="AD27" s="147"/>
      <c r="AE27" s="147"/>
      <c r="AF27" s="147"/>
      <c r="AG27" s="147"/>
      <c r="AH27" s="147"/>
      <c r="AI27" s="147"/>
    </row>
    <row r="28" spans="1:35" ht="12.75">
      <c r="A28" s="146"/>
      <c r="B28" s="146"/>
      <c r="C28" s="146">
        <v>1991</v>
      </c>
      <c r="D28" s="146">
        <v>1992</v>
      </c>
      <c r="E28" s="146">
        <v>1993</v>
      </c>
      <c r="F28" s="146">
        <v>1994</v>
      </c>
      <c r="G28" s="146">
        <v>1995</v>
      </c>
      <c r="H28" s="146">
        <v>1996</v>
      </c>
      <c r="I28" s="146">
        <v>1997</v>
      </c>
      <c r="J28" s="147">
        <v>1998</v>
      </c>
      <c r="K28" s="146">
        <v>1999</v>
      </c>
      <c r="L28" s="146">
        <v>2000</v>
      </c>
      <c r="M28" s="146">
        <v>2001</v>
      </c>
      <c r="N28" s="146">
        <v>2002</v>
      </c>
      <c r="O28" s="146">
        <v>2003</v>
      </c>
      <c r="P28" s="146">
        <v>2004</v>
      </c>
      <c r="Q28" s="146">
        <v>2005</v>
      </c>
      <c r="R28" s="146"/>
      <c r="S28" s="146"/>
      <c r="T28" s="146"/>
      <c r="U28" s="146"/>
      <c r="V28" s="146"/>
      <c r="W28" s="146"/>
      <c r="X28" s="146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</row>
    <row r="29" spans="1:35" ht="12.75">
      <c r="A29" s="146" t="s">
        <v>352</v>
      </c>
      <c r="B29" s="146"/>
      <c r="C29" s="148">
        <f aca="true" t="shared" si="25" ref="C29:O29">LN(C12)</f>
        <v>0.7080357930536959</v>
      </c>
      <c r="D29" s="148">
        <f t="shared" si="25"/>
        <v>0.7514160886839212</v>
      </c>
      <c r="E29" s="148">
        <f t="shared" si="25"/>
        <v>0.8020015854720274</v>
      </c>
      <c r="F29" s="148">
        <f t="shared" si="25"/>
        <v>0.5306282510621704</v>
      </c>
      <c r="G29" s="148">
        <f t="shared" si="25"/>
        <v>0.2151113796169455</v>
      </c>
      <c r="H29" s="148">
        <f t="shared" si="25"/>
        <v>1.791759469228055</v>
      </c>
      <c r="I29" s="148">
        <f t="shared" si="25"/>
        <v>1.1939224684724346</v>
      </c>
      <c r="J29" s="148">
        <f t="shared" si="25"/>
        <v>0.9555114450274363</v>
      </c>
      <c r="K29" s="148">
        <f t="shared" si="25"/>
        <v>0.6418538861723947</v>
      </c>
      <c r="L29" s="148">
        <f t="shared" si="25"/>
        <v>0.8109302162163288</v>
      </c>
      <c r="M29" s="148">
        <f t="shared" si="25"/>
        <v>0.6418538861723947</v>
      </c>
      <c r="N29" s="148">
        <f t="shared" si="25"/>
        <v>0.9162907318741551</v>
      </c>
      <c r="O29" s="148">
        <f t="shared" si="25"/>
        <v>0.5877866649021191</v>
      </c>
      <c r="P29" s="148">
        <f>LN(P12)</f>
        <v>0.8329091229351039</v>
      </c>
      <c r="Q29" s="148">
        <f>LN(Q12)</f>
        <v>0.8754687373538999</v>
      </c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</row>
    <row r="30" spans="1:35" ht="12.75">
      <c r="A30" s="146"/>
      <c r="B30" s="146"/>
      <c r="C30" s="148">
        <f aca="true" t="shared" si="26" ref="C30:Q30">60-(14.41*C29)</f>
        <v>49.79720422209624</v>
      </c>
      <c r="D30" s="148">
        <f t="shared" si="26"/>
        <v>49.172094162064695</v>
      </c>
      <c r="E30" s="148">
        <f t="shared" si="26"/>
        <v>48.44315715334808</v>
      </c>
      <c r="F30" s="148">
        <f t="shared" si="26"/>
        <v>52.35364690219413</v>
      </c>
      <c r="G30" s="148">
        <f t="shared" si="26"/>
        <v>56.90024501971982</v>
      </c>
      <c r="H30" s="148">
        <f t="shared" si="26"/>
        <v>34.18074604842373</v>
      </c>
      <c r="I30" s="148">
        <f t="shared" si="26"/>
        <v>42.795577229312215</v>
      </c>
      <c r="J30" s="148">
        <f t="shared" si="26"/>
        <v>46.231080077154644</v>
      </c>
      <c r="K30" s="148">
        <f t="shared" si="26"/>
        <v>50.75088550025579</v>
      </c>
      <c r="L30" s="148">
        <f t="shared" si="26"/>
        <v>48.3144955843227</v>
      </c>
      <c r="M30" s="148">
        <f t="shared" si="26"/>
        <v>50.75088550025579</v>
      </c>
      <c r="N30" s="148">
        <f t="shared" si="26"/>
        <v>46.796250553693426</v>
      </c>
      <c r="O30" s="148">
        <f t="shared" si="26"/>
        <v>51.529994158760466</v>
      </c>
      <c r="P30" s="148">
        <f t="shared" si="26"/>
        <v>47.997779538505156</v>
      </c>
      <c r="Q30" s="148">
        <f t="shared" si="26"/>
        <v>47.3844954947303</v>
      </c>
      <c r="R30" s="146"/>
      <c r="S30" s="146"/>
      <c r="T30" s="146"/>
      <c r="U30" s="146"/>
      <c r="V30" s="146"/>
      <c r="W30" s="146"/>
      <c r="X30" s="146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</row>
    <row r="31" spans="1:35" ht="12.75">
      <c r="A31" s="146"/>
      <c r="B31" s="146"/>
      <c r="C31" s="148"/>
      <c r="D31" s="148"/>
      <c r="E31" s="148"/>
      <c r="F31" s="148"/>
      <c r="G31" s="148"/>
      <c r="H31" s="146"/>
      <c r="I31" s="146"/>
      <c r="J31" s="147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</row>
    <row r="32" spans="1:35" ht="12.75">
      <c r="A32" s="146" t="s">
        <v>350</v>
      </c>
      <c r="B32" s="146"/>
      <c r="C32" s="148">
        <f aca="true" t="shared" si="27" ref="C32:P32">LN(C11)</f>
        <v>1.3837912309017721</v>
      </c>
      <c r="D32" s="148">
        <f t="shared" si="27"/>
        <v>2.4664031782234406</v>
      </c>
      <c r="E32" s="148">
        <f t="shared" si="27"/>
        <v>2.667228206581955</v>
      </c>
      <c r="F32" s="148">
        <f t="shared" si="27"/>
        <v>3.2733640101522705</v>
      </c>
      <c r="G32" s="148">
        <f t="shared" si="27"/>
        <v>2.3942522815198695</v>
      </c>
      <c r="H32" s="148">
        <f t="shared" si="27"/>
        <v>1.1969481893889715</v>
      </c>
      <c r="I32" s="148">
        <f t="shared" si="27"/>
        <v>0.8424288832756998</v>
      </c>
      <c r="J32" s="148">
        <f t="shared" si="27"/>
        <v>1.33500106673234</v>
      </c>
      <c r="K32" s="148">
        <f t="shared" si="27"/>
        <v>1.4350845252893227</v>
      </c>
      <c r="L32" s="148">
        <f t="shared" si="27"/>
        <v>1.8309801823813363</v>
      </c>
      <c r="M32" s="148">
        <f t="shared" si="27"/>
        <v>2.341805806147327</v>
      </c>
      <c r="N32" s="148">
        <f t="shared" si="27"/>
        <v>2.2082744135228043</v>
      </c>
      <c r="O32" s="148">
        <f t="shared" si="27"/>
        <v>2.302585092994046</v>
      </c>
      <c r="P32" s="148">
        <f t="shared" si="27"/>
        <v>2.2512917986064953</v>
      </c>
      <c r="Q32" s="148">
        <f>LN(Q11)</f>
        <v>1.916922612182061</v>
      </c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</row>
    <row r="33" spans="1:35" ht="12.75">
      <c r="A33" s="146"/>
      <c r="B33" s="146"/>
      <c r="C33" s="148">
        <f aca="true" t="shared" si="28" ref="C33:Q33">(9.81*C32)+30.6</f>
        <v>44.17499197514638</v>
      </c>
      <c r="D33" s="148">
        <f t="shared" si="28"/>
        <v>54.795415178371954</v>
      </c>
      <c r="E33" s="148">
        <f t="shared" si="28"/>
        <v>56.76550870656898</v>
      </c>
      <c r="F33" s="148">
        <f t="shared" si="28"/>
        <v>62.711700939593776</v>
      </c>
      <c r="G33" s="148">
        <f t="shared" si="28"/>
        <v>54.087614881709925</v>
      </c>
      <c r="H33" s="148">
        <f t="shared" si="28"/>
        <v>42.34206173790581</v>
      </c>
      <c r="I33" s="148">
        <f t="shared" si="28"/>
        <v>38.86422734493462</v>
      </c>
      <c r="J33" s="148">
        <f t="shared" si="28"/>
        <v>43.69636046464426</v>
      </c>
      <c r="K33" s="148">
        <f t="shared" si="28"/>
        <v>44.678179193088255</v>
      </c>
      <c r="L33" s="148">
        <f t="shared" si="28"/>
        <v>48.56191558916091</v>
      </c>
      <c r="M33" s="148">
        <f t="shared" si="28"/>
        <v>53.57311495830528</v>
      </c>
      <c r="N33" s="148">
        <f t="shared" si="28"/>
        <v>52.26317199665871</v>
      </c>
      <c r="O33" s="148">
        <f t="shared" si="28"/>
        <v>53.18835976227159</v>
      </c>
      <c r="P33" s="148">
        <f t="shared" si="28"/>
        <v>52.68517254432972</v>
      </c>
      <c r="Q33" s="148">
        <f t="shared" si="28"/>
        <v>49.405010825506025</v>
      </c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</row>
    <row r="34" spans="1:35" ht="12.75">
      <c r="A34" s="146"/>
      <c r="B34" s="146"/>
      <c r="C34" s="148"/>
      <c r="D34" s="148"/>
      <c r="E34" s="148"/>
      <c r="F34" s="148"/>
      <c r="G34" s="148"/>
      <c r="H34" s="146"/>
      <c r="I34" s="146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</row>
    <row r="35" spans="1:35" ht="12.75">
      <c r="A35" s="146" t="s">
        <v>348</v>
      </c>
      <c r="B35" s="146"/>
      <c r="C35" s="148">
        <f aca="true" t="shared" si="29" ref="C35:K35">LN(C10)</f>
        <v>5.256609563148246</v>
      </c>
      <c r="D35" s="148">
        <f t="shared" si="29"/>
        <v>5.2021368080740675</v>
      </c>
      <c r="E35" s="148">
        <f t="shared" si="29"/>
        <v>5.332235584751498</v>
      </c>
      <c r="F35" s="148">
        <f t="shared" si="29"/>
        <v>4.524719061590464</v>
      </c>
      <c r="G35" s="148">
        <f t="shared" si="29"/>
        <v>4.067315889834181</v>
      </c>
      <c r="H35" s="148">
        <f t="shared" si="29"/>
        <v>3.6282548322975017</v>
      </c>
      <c r="I35" s="148">
        <f t="shared" si="29"/>
        <v>2.6667320418459206</v>
      </c>
      <c r="J35" s="148">
        <f t="shared" si="29"/>
        <v>2.747270914255491</v>
      </c>
      <c r="K35" s="148">
        <f t="shared" si="29"/>
        <v>3.299533727885655</v>
      </c>
      <c r="L35" s="148">
        <f aca="true" t="shared" si="30" ref="L35:Q35">LN(L10)</f>
        <v>2.70805020110221</v>
      </c>
      <c r="M35" s="148">
        <f t="shared" si="30"/>
        <v>3.4011973816621555</v>
      </c>
      <c r="N35" s="148">
        <f t="shared" si="30"/>
        <v>3.2188758248682006</v>
      </c>
      <c r="O35" s="148">
        <f t="shared" si="30"/>
        <v>3.6375861597263857</v>
      </c>
      <c r="P35" s="148">
        <f t="shared" si="30"/>
        <v>3.676300671907076</v>
      </c>
      <c r="Q35" s="148">
        <f t="shared" si="30"/>
        <v>3.2809112157876537</v>
      </c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</row>
    <row r="36" spans="1:35" ht="12.75">
      <c r="A36" s="146"/>
      <c r="B36" s="146"/>
      <c r="C36" s="148">
        <f aca="true" t="shared" si="31" ref="C36:Q36">(14.42*C35)+4.15</f>
        <v>79.95030990059772</v>
      </c>
      <c r="D36" s="148">
        <f t="shared" si="31"/>
        <v>79.16481277242806</v>
      </c>
      <c r="E36" s="148">
        <f t="shared" si="31"/>
        <v>81.04083713211661</v>
      </c>
      <c r="F36" s="148">
        <f t="shared" si="31"/>
        <v>69.3964488681345</v>
      </c>
      <c r="G36" s="148">
        <f t="shared" si="31"/>
        <v>62.800695131408894</v>
      </c>
      <c r="H36" s="148">
        <f t="shared" si="31"/>
        <v>56.46943468172997</v>
      </c>
      <c r="I36" s="148">
        <f t="shared" si="31"/>
        <v>42.604276043418174</v>
      </c>
      <c r="J36" s="148">
        <f t="shared" si="31"/>
        <v>43.765646583564184</v>
      </c>
      <c r="K36" s="148">
        <f t="shared" si="31"/>
        <v>51.72927635611114</v>
      </c>
      <c r="L36" s="148">
        <f t="shared" si="31"/>
        <v>43.20008389989387</v>
      </c>
      <c r="M36" s="148">
        <f t="shared" si="31"/>
        <v>53.19526624356828</v>
      </c>
      <c r="N36" s="148">
        <f t="shared" si="31"/>
        <v>50.56618939459945</v>
      </c>
      <c r="O36" s="148">
        <f t="shared" si="31"/>
        <v>56.60399242325448</v>
      </c>
      <c r="P36" s="148">
        <f t="shared" si="31"/>
        <v>57.16225568890003</v>
      </c>
      <c r="Q36" s="148">
        <f t="shared" si="31"/>
        <v>51.460739731657966</v>
      </c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</row>
    <row r="37" spans="1:35" ht="12.75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</row>
    <row r="38" spans="1:35" ht="12.75">
      <c r="A38" s="147" t="s">
        <v>476</v>
      </c>
      <c r="B38" s="147" t="s">
        <v>490</v>
      </c>
      <c r="C38" s="212">
        <f>(C30+C33+C36)/3</f>
        <v>57.97416869928011</v>
      </c>
      <c r="D38" s="212">
        <f aca="true" t="shared" si="32" ref="D38:Q38">(D30+D33+D36)/3</f>
        <v>61.0441073709549</v>
      </c>
      <c r="E38" s="212">
        <f t="shared" si="32"/>
        <v>62.08316766401123</v>
      </c>
      <c r="F38" s="212">
        <f t="shared" si="32"/>
        <v>61.487265569974134</v>
      </c>
      <c r="G38" s="212">
        <f t="shared" si="32"/>
        <v>57.92951834427955</v>
      </c>
      <c r="H38" s="212">
        <f t="shared" si="32"/>
        <v>44.33074748935317</v>
      </c>
      <c r="I38" s="212">
        <f t="shared" si="32"/>
        <v>41.421360205888334</v>
      </c>
      <c r="J38" s="212">
        <f t="shared" si="32"/>
        <v>44.56436237512103</v>
      </c>
      <c r="K38" s="212">
        <f t="shared" si="32"/>
        <v>49.0527803498184</v>
      </c>
      <c r="L38" s="212">
        <f t="shared" si="32"/>
        <v>46.692165024459165</v>
      </c>
      <c r="M38" s="212">
        <f t="shared" si="32"/>
        <v>52.50642223404312</v>
      </c>
      <c r="N38" s="212">
        <f t="shared" si="32"/>
        <v>49.87520398165052</v>
      </c>
      <c r="O38" s="212">
        <f t="shared" si="32"/>
        <v>53.77411544809551</v>
      </c>
      <c r="P38" s="212">
        <f t="shared" si="32"/>
        <v>52.615069257244976</v>
      </c>
      <c r="Q38" s="212">
        <f t="shared" si="32"/>
        <v>49.41674868396476</v>
      </c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</row>
    <row r="39" spans="1:35" ht="12.75">
      <c r="A39" s="147"/>
      <c r="B39" s="147"/>
      <c r="C39" s="147">
        <v>1991</v>
      </c>
      <c r="D39" s="147">
        <v>1992</v>
      </c>
      <c r="E39" s="147">
        <v>1993</v>
      </c>
      <c r="F39" s="147">
        <v>1994</v>
      </c>
      <c r="G39" s="147">
        <v>1995</v>
      </c>
      <c r="H39" s="147">
        <v>1996</v>
      </c>
      <c r="I39" s="147">
        <v>1997</v>
      </c>
      <c r="J39" s="147">
        <v>1998</v>
      </c>
      <c r="K39" s="147">
        <v>1999</v>
      </c>
      <c r="L39" s="147">
        <v>2000</v>
      </c>
      <c r="M39" s="147">
        <v>2001</v>
      </c>
      <c r="N39" s="147">
        <v>2002</v>
      </c>
      <c r="O39" s="147">
        <v>2003</v>
      </c>
      <c r="P39" s="147">
        <v>2004</v>
      </c>
      <c r="Q39" s="147">
        <v>2005</v>
      </c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</row>
    <row r="40" spans="1:35" ht="12.75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</row>
    <row r="41" spans="1:35" ht="12.75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</row>
    <row r="42" spans="1:35" ht="12.75">
      <c r="A42" s="147"/>
      <c r="B42" s="147"/>
      <c r="C42" s="147"/>
      <c r="D42" s="147"/>
      <c r="E42" s="147"/>
      <c r="F42" s="147"/>
      <c r="G42" s="152" t="s">
        <v>402</v>
      </c>
      <c r="H42" s="152" t="s">
        <v>410</v>
      </c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</row>
    <row r="43" spans="1:35" ht="12.75">
      <c r="A43" s="147"/>
      <c r="B43" s="147"/>
      <c r="C43" s="147"/>
      <c r="D43" s="147"/>
      <c r="E43" s="147"/>
      <c r="F43" s="147"/>
      <c r="G43" s="152" t="s">
        <v>400</v>
      </c>
      <c r="H43" s="152" t="s">
        <v>409</v>
      </c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</row>
    <row r="44" spans="1:35" ht="12.75">
      <c r="A44" s="147"/>
      <c r="B44" s="147"/>
      <c r="C44" s="147"/>
      <c r="D44" s="147"/>
      <c r="E44" s="147"/>
      <c r="F44" s="147"/>
      <c r="G44" s="152" t="s">
        <v>397</v>
      </c>
      <c r="H44" s="152" t="s">
        <v>408</v>
      </c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</row>
    <row r="45" spans="1:35" ht="12.75">
      <c r="A45" s="147"/>
      <c r="B45" s="147"/>
      <c r="C45" s="147"/>
      <c r="D45" s="147"/>
      <c r="E45" s="147"/>
      <c r="F45" s="147"/>
      <c r="G45" s="152" t="s">
        <v>395</v>
      </c>
      <c r="H45" s="152" t="s">
        <v>407</v>
      </c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</row>
    <row r="46" spans="1:35" ht="12.75">
      <c r="A46" s="153" t="s">
        <v>374</v>
      </c>
      <c r="B46" s="146"/>
      <c r="C46" s="146" t="s">
        <v>373</v>
      </c>
      <c r="D46" s="146"/>
      <c r="E46" s="146"/>
      <c r="F46" s="146"/>
      <c r="G46" s="152" t="s">
        <v>393</v>
      </c>
      <c r="H46" s="152" t="s">
        <v>406</v>
      </c>
      <c r="I46" s="146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</row>
    <row r="47" spans="1:35" ht="12.75">
      <c r="A47" s="153" t="s">
        <v>372</v>
      </c>
      <c r="B47" s="146"/>
      <c r="C47" s="146" t="s">
        <v>371</v>
      </c>
      <c r="D47" s="146"/>
      <c r="E47" s="146"/>
      <c r="F47" s="146"/>
      <c r="G47" s="152" t="s">
        <v>390</v>
      </c>
      <c r="H47" s="152" t="s">
        <v>405</v>
      </c>
      <c r="I47" s="146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</row>
    <row r="48" spans="1:35" ht="12.75">
      <c r="A48" s="153" t="s">
        <v>370</v>
      </c>
      <c r="B48" s="146"/>
      <c r="C48" s="146" t="s">
        <v>369</v>
      </c>
      <c r="D48" s="146"/>
      <c r="E48" s="146"/>
      <c r="F48" s="146"/>
      <c r="G48" s="146"/>
      <c r="H48" s="146"/>
      <c r="I48" s="146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</row>
  </sheetData>
  <printOptions/>
  <pageMargins left="0.75" right="0.75" top="1" bottom="1" header="0.5" footer="0.5"/>
  <pageSetup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C21"/>
  <sheetViews>
    <sheetView workbookViewId="0" topLeftCell="A2">
      <selection activeCell="N21" sqref="N21"/>
    </sheetView>
  </sheetViews>
  <sheetFormatPr defaultColWidth="9.140625" defaultRowHeight="12.75"/>
  <cols>
    <col min="3" max="3" width="14.421875" style="0" bestFit="1" customWidth="1"/>
  </cols>
  <sheetData>
    <row r="2" ht="12.75">
      <c r="B2" t="s">
        <v>449</v>
      </c>
    </row>
    <row r="3" spans="2:3" ht="12.75">
      <c r="B3" t="s">
        <v>447</v>
      </c>
      <c r="C3" t="s">
        <v>448</v>
      </c>
    </row>
    <row r="4" spans="2:3" ht="12.75">
      <c r="B4">
        <v>1988</v>
      </c>
      <c r="C4">
        <v>4.2</v>
      </c>
    </row>
    <row r="5" spans="2:3" ht="12.75">
      <c r="B5">
        <v>1989</v>
      </c>
      <c r="C5">
        <v>6.3</v>
      </c>
    </row>
    <row r="6" spans="2:3" ht="12.75">
      <c r="B6">
        <v>1990</v>
      </c>
      <c r="C6">
        <v>6.3</v>
      </c>
    </row>
    <row r="7" spans="2:3" ht="12.75">
      <c r="B7">
        <v>1991</v>
      </c>
      <c r="C7">
        <v>6.5</v>
      </c>
    </row>
    <row r="8" spans="2:3" ht="12.75">
      <c r="B8">
        <v>1992</v>
      </c>
      <c r="C8">
        <v>4.7</v>
      </c>
    </row>
    <row r="9" spans="2:3" ht="12.75">
      <c r="B9">
        <v>1993</v>
      </c>
      <c r="C9">
        <v>5.6</v>
      </c>
    </row>
    <row r="10" spans="2:3" ht="12.75">
      <c r="B10">
        <v>1994</v>
      </c>
      <c r="C10">
        <v>5.8</v>
      </c>
    </row>
    <row r="11" spans="2:3" ht="12.75">
      <c r="B11">
        <v>1995</v>
      </c>
      <c r="C11">
        <v>5.8</v>
      </c>
    </row>
    <row r="12" spans="2:3" ht="12.75">
      <c r="B12">
        <v>1996</v>
      </c>
      <c r="C12">
        <v>4.5</v>
      </c>
    </row>
    <row r="13" spans="2:3" ht="12.75">
      <c r="B13">
        <v>1997</v>
      </c>
      <c r="C13">
        <v>10.8</v>
      </c>
    </row>
    <row r="14" spans="2:3" ht="12.75">
      <c r="B14">
        <v>1998</v>
      </c>
      <c r="C14">
        <v>8.4</v>
      </c>
    </row>
    <row r="15" spans="2:3" ht="12.75">
      <c r="B15">
        <v>1999</v>
      </c>
      <c r="C15">
        <v>6.1</v>
      </c>
    </row>
    <row r="16" spans="2:3" ht="12.75">
      <c r="B16">
        <v>2000</v>
      </c>
      <c r="C16">
        <v>8</v>
      </c>
    </row>
    <row r="17" spans="2:3" ht="12.75">
      <c r="B17">
        <v>2001</v>
      </c>
      <c r="C17">
        <v>6.9</v>
      </c>
    </row>
    <row r="18" spans="2:3" ht="12.75">
      <c r="B18">
        <v>2002</v>
      </c>
      <c r="C18">
        <v>6.7</v>
      </c>
    </row>
    <row r="19" spans="2:3" ht="12.75">
      <c r="B19">
        <v>2003</v>
      </c>
      <c r="C19">
        <v>6</v>
      </c>
    </row>
    <row r="20" spans="2:3" ht="12.75">
      <c r="B20">
        <v>2004</v>
      </c>
      <c r="C20">
        <v>7.4</v>
      </c>
    </row>
    <row r="21" spans="2:3" ht="12.75">
      <c r="B21">
        <v>2005</v>
      </c>
      <c r="C21">
        <v>7.9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P169"/>
  <sheetViews>
    <sheetView workbookViewId="0" topLeftCell="A1">
      <selection activeCell="T12" sqref="T12"/>
    </sheetView>
  </sheetViews>
  <sheetFormatPr defaultColWidth="9.140625" defaultRowHeight="12.75"/>
  <cols>
    <col min="1" max="1" width="6.00390625" style="5" bestFit="1" customWidth="1"/>
    <col min="2" max="2" width="7.28125" style="5" bestFit="1" customWidth="1"/>
    <col min="3" max="3" width="11.140625" style="5" bestFit="1" customWidth="1"/>
    <col min="4" max="4" width="11.00390625" style="5" bestFit="1" customWidth="1"/>
    <col min="5" max="5" width="7.421875" style="5" customWidth="1"/>
    <col min="6" max="6" width="6.57421875" style="5" bestFit="1" customWidth="1"/>
    <col min="7" max="7" width="7.00390625" style="5" bestFit="1" customWidth="1"/>
    <col min="8" max="8" width="12.8515625" style="5" bestFit="1" customWidth="1"/>
    <col min="9" max="9" width="10.8515625" style="5" bestFit="1" customWidth="1"/>
    <col min="10" max="10" width="10.57421875" style="5" customWidth="1"/>
    <col min="11" max="11" width="7.140625" style="5" bestFit="1" customWidth="1"/>
    <col min="12" max="12" width="8.8515625" style="5" bestFit="1" customWidth="1"/>
    <col min="13" max="13" width="12.8515625" style="5" bestFit="1" customWidth="1"/>
    <col min="14" max="14" width="11.00390625" style="5" bestFit="1" customWidth="1"/>
    <col min="15" max="15" width="12.00390625" style="5" customWidth="1"/>
    <col min="16" max="16" width="5.421875" style="5" bestFit="1" customWidth="1"/>
    <col min="17" max="17" width="8.28125" style="5" bestFit="1" customWidth="1"/>
    <col min="18" max="18" width="11.421875" style="5" customWidth="1"/>
    <col min="19" max="19" width="8.421875" style="5" bestFit="1" customWidth="1"/>
    <col min="20" max="16384" width="9.140625" style="5" customWidth="1"/>
  </cols>
  <sheetData>
    <row r="1" spans="1:7" ht="12.75">
      <c r="A1" s="63"/>
      <c r="B1" s="64"/>
      <c r="C1" s="64"/>
      <c r="D1" s="64"/>
      <c r="E1" s="64"/>
      <c r="F1" s="438"/>
      <c r="G1" s="438"/>
    </row>
    <row r="4" spans="2:7" ht="12.75">
      <c r="B4" s="8"/>
      <c r="C4" s="8"/>
      <c r="D4" s="8"/>
      <c r="E4" s="8"/>
      <c r="F4" s="8"/>
      <c r="G4" s="8"/>
    </row>
    <row r="5" spans="2:7" ht="12.75">
      <c r="B5" s="8"/>
      <c r="C5" s="8"/>
      <c r="D5" s="8"/>
      <c r="E5" s="8"/>
      <c r="F5" s="8"/>
      <c r="G5" s="8"/>
    </row>
    <row r="6" spans="2:7" ht="12.75">
      <c r="B6" s="8"/>
      <c r="C6" s="8"/>
      <c r="D6" s="8"/>
      <c r="E6" s="8"/>
      <c r="F6" s="8"/>
      <c r="G6" s="8"/>
    </row>
    <row r="7" spans="2:7" ht="12.75">
      <c r="B7" s="8"/>
      <c r="C7" s="8"/>
      <c r="D7" s="8"/>
      <c r="E7" s="8"/>
      <c r="F7" s="8"/>
      <c r="G7" s="8"/>
    </row>
    <row r="8" spans="2:7" ht="12.75">
      <c r="B8" s="8"/>
      <c r="C8" s="8"/>
      <c r="D8" s="8"/>
      <c r="E8" s="8"/>
      <c r="F8" s="8"/>
      <c r="G8" s="8"/>
    </row>
    <row r="9" spans="2:7" ht="12.75">
      <c r="B9" s="8"/>
      <c r="C9" s="8"/>
      <c r="D9" s="8"/>
      <c r="E9" s="8"/>
      <c r="F9" s="8"/>
      <c r="G9" s="8"/>
    </row>
    <row r="10" spans="2:7" ht="12.75">
      <c r="B10" s="8"/>
      <c r="C10" s="8"/>
      <c r="D10" s="8"/>
      <c r="E10" s="8"/>
      <c r="F10" s="8"/>
      <c r="G10" s="8"/>
    </row>
    <row r="11" spans="2:7" ht="12.75">
      <c r="B11" s="8"/>
      <c r="C11" s="8"/>
      <c r="D11" s="8"/>
      <c r="E11" s="8"/>
      <c r="F11" s="8"/>
      <c r="G11" s="8"/>
    </row>
    <row r="12" spans="2:7" ht="12.75">
      <c r="B12" s="8"/>
      <c r="C12" s="8"/>
      <c r="D12" s="8"/>
      <c r="E12" s="8"/>
      <c r="F12" s="8"/>
      <c r="G12" s="8"/>
    </row>
    <row r="13" spans="2:7" ht="12.75">
      <c r="B13" s="8"/>
      <c r="C13" s="8"/>
      <c r="D13" s="8"/>
      <c r="E13" s="8"/>
      <c r="F13" s="8"/>
      <c r="G13" s="8"/>
    </row>
    <row r="14" spans="2:7" ht="12.75">
      <c r="B14" s="8"/>
      <c r="C14" s="8"/>
      <c r="D14" s="8"/>
      <c r="E14" s="8"/>
      <c r="F14" s="8"/>
      <c r="G14" s="8"/>
    </row>
    <row r="16" ht="12.75">
      <c r="F16" s="65"/>
    </row>
    <row r="17" spans="1:7" ht="12.75">
      <c r="A17" s="63"/>
      <c r="B17" s="63"/>
      <c r="C17" s="63"/>
      <c r="D17" s="63"/>
      <c r="E17" s="63"/>
      <c r="F17" s="64"/>
      <c r="G17" s="64"/>
    </row>
    <row r="32" spans="1:7" ht="12.75">
      <c r="A32" s="63"/>
      <c r="B32" s="63"/>
      <c r="C32" s="63"/>
      <c r="D32" s="63"/>
      <c r="E32" s="63"/>
      <c r="F32" s="64"/>
      <c r="G32" s="64"/>
    </row>
    <row r="35" spans="2:7" ht="12.75">
      <c r="B35" s="8"/>
      <c r="C35" s="8"/>
      <c r="D35" s="8"/>
      <c r="E35" s="8"/>
      <c r="F35" s="8"/>
      <c r="G35" s="66"/>
    </row>
    <row r="36" spans="2:7" ht="12.75">
      <c r="B36" s="8"/>
      <c r="C36" s="8"/>
      <c r="D36" s="8"/>
      <c r="E36" s="8"/>
      <c r="F36" s="8"/>
      <c r="G36" s="66"/>
    </row>
    <row r="37" spans="2:6" ht="12.75">
      <c r="B37" s="8"/>
      <c r="C37" s="8"/>
      <c r="D37" s="8"/>
      <c r="E37" s="8"/>
      <c r="F37" s="8"/>
    </row>
    <row r="38" spans="2:6" ht="12.75">
      <c r="B38" s="8"/>
      <c r="C38" s="8"/>
      <c r="D38" s="8"/>
      <c r="E38" s="8"/>
      <c r="F38" s="8"/>
    </row>
    <row r="39" spans="2:6" ht="12.75">
      <c r="B39" s="8"/>
      <c r="C39" s="8"/>
      <c r="D39" s="8"/>
      <c r="E39" s="8"/>
      <c r="F39" s="8"/>
    </row>
    <row r="40" spans="2:6" ht="12.75">
      <c r="B40" s="8"/>
      <c r="C40" s="8"/>
      <c r="D40" s="8"/>
      <c r="E40" s="8"/>
      <c r="F40" s="8"/>
    </row>
    <row r="41" spans="2:6" ht="12.75">
      <c r="B41" s="8"/>
      <c r="C41" s="8"/>
      <c r="D41" s="8"/>
      <c r="E41" s="8"/>
      <c r="F41" s="8"/>
    </row>
    <row r="42" spans="2:6" ht="12.75">
      <c r="B42" s="8"/>
      <c r="C42" s="8"/>
      <c r="D42" s="8"/>
      <c r="E42" s="8"/>
      <c r="F42" s="8"/>
    </row>
    <row r="43" spans="2:6" ht="12.75">
      <c r="B43" s="8"/>
      <c r="C43" s="8"/>
      <c r="D43" s="8"/>
      <c r="E43" s="8"/>
      <c r="F43" s="8"/>
    </row>
    <row r="44" spans="2:6" ht="12.75">
      <c r="B44" s="8"/>
      <c r="C44" s="8"/>
      <c r="D44" s="8"/>
      <c r="E44" s="8"/>
      <c r="F44" s="8"/>
    </row>
    <row r="45" spans="2:6" ht="12.75">
      <c r="B45" s="8"/>
      <c r="C45" s="8"/>
      <c r="D45" s="8"/>
      <c r="E45" s="8"/>
      <c r="F45" s="8"/>
    </row>
    <row r="47" spans="1:7" ht="12.75">
      <c r="A47" s="63"/>
      <c r="B47" s="63"/>
      <c r="C47" s="63"/>
      <c r="D47" s="63"/>
      <c r="E47" s="63"/>
      <c r="F47" s="64"/>
      <c r="G47" s="64"/>
    </row>
    <row r="50" spans="1:26" ht="12.75">
      <c r="A50" s="67"/>
      <c r="B50" s="67"/>
      <c r="C50" s="68"/>
      <c r="D50" s="69"/>
      <c r="E50" s="68"/>
      <c r="F50" s="69"/>
      <c r="G50" s="69"/>
      <c r="H50" s="67"/>
      <c r="I50" s="67"/>
      <c r="J50" s="67"/>
      <c r="K50" s="70"/>
      <c r="L50" s="67"/>
      <c r="M50" s="67"/>
      <c r="N50" s="71"/>
      <c r="O50" s="67"/>
      <c r="P50" s="68"/>
      <c r="Q50" s="69"/>
      <c r="R50" s="68"/>
      <c r="S50" s="69"/>
      <c r="T50" s="69"/>
      <c r="U50" s="67"/>
      <c r="V50" s="67"/>
      <c r="W50" s="67"/>
      <c r="X50" s="70"/>
      <c r="Y50" s="67"/>
      <c r="Z50" s="67"/>
    </row>
    <row r="51" spans="1:26" ht="12.75">
      <c r="A51" s="437" t="s">
        <v>443</v>
      </c>
      <c r="B51" s="437"/>
      <c r="C51" s="437"/>
      <c r="D51" s="437"/>
      <c r="E51" s="243"/>
      <c r="F51" s="437" t="s">
        <v>411</v>
      </c>
      <c r="G51" s="437"/>
      <c r="H51" s="437"/>
      <c r="I51" s="437"/>
      <c r="J51" s="249"/>
      <c r="K51" s="437" t="s">
        <v>425</v>
      </c>
      <c r="L51" s="437"/>
      <c r="M51" s="437"/>
      <c r="N51" s="437"/>
      <c r="O51" s="71"/>
      <c r="T51" s="71"/>
      <c r="U51" s="71"/>
      <c r="V51" s="71"/>
      <c r="W51" s="71"/>
      <c r="X51" s="71"/>
      <c r="Y51" s="71"/>
      <c r="Z51" s="71"/>
    </row>
    <row r="52" spans="1:14" ht="25.5">
      <c r="A52" s="243"/>
      <c r="B52" s="243" t="s">
        <v>347</v>
      </c>
      <c r="C52" s="333" t="s">
        <v>348</v>
      </c>
      <c r="D52" s="250" t="s">
        <v>444</v>
      </c>
      <c r="E52" s="243"/>
      <c r="F52" s="243"/>
      <c r="G52" s="251" t="s">
        <v>347</v>
      </c>
      <c r="H52" s="333" t="s">
        <v>348</v>
      </c>
      <c r="I52" s="250" t="s">
        <v>444</v>
      </c>
      <c r="J52" s="252"/>
      <c r="K52" s="243"/>
      <c r="L52" s="251" t="s">
        <v>347</v>
      </c>
      <c r="M52" s="333" t="s">
        <v>348</v>
      </c>
      <c r="N52" s="250" t="s">
        <v>444</v>
      </c>
    </row>
    <row r="53" spans="1:26" ht="12.75">
      <c r="A53" s="244" t="s">
        <v>413</v>
      </c>
      <c r="B53" s="244" t="s">
        <v>166</v>
      </c>
      <c r="C53" s="334" t="s">
        <v>504</v>
      </c>
      <c r="D53" s="244" t="s">
        <v>166</v>
      </c>
      <c r="E53" s="243"/>
      <c r="F53" s="244" t="s">
        <v>413</v>
      </c>
      <c r="G53" s="244" t="s">
        <v>166</v>
      </c>
      <c r="H53" s="334" t="s">
        <v>504</v>
      </c>
      <c r="I53" s="244" t="s">
        <v>166</v>
      </c>
      <c r="J53" s="252"/>
      <c r="K53" s="243" t="s">
        <v>413</v>
      </c>
      <c r="L53" s="244" t="s">
        <v>506</v>
      </c>
      <c r="M53" s="334" t="s">
        <v>504</v>
      </c>
      <c r="N53" s="244" t="s">
        <v>166</v>
      </c>
      <c r="V53" s="8"/>
      <c r="W53" s="8"/>
      <c r="X53" s="8"/>
      <c r="Y53" s="8"/>
      <c r="Z53" s="75"/>
    </row>
    <row r="54" spans="1:26" ht="16.5">
      <c r="A54" s="245" t="s">
        <v>105</v>
      </c>
      <c r="B54" s="305">
        <v>0.203</v>
      </c>
      <c r="C54" s="335">
        <v>16</v>
      </c>
      <c r="D54" s="345">
        <v>4.7</v>
      </c>
      <c r="E54" s="246"/>
      <c r="F54" s="245" t="s">
        <v>105</v>
      </c>
      <c r="G54" s="15">
        <v>1.25</v>
      </c>
      <c r="H54" s="338">
        <v>120</v>
      </c>
      <c r="I54" s="44">
        <v>28.6</v>
      </c>
      <c r="J54" s="252"/>
      <c r="K54" s="245" t="s">
        <v>105</v>
      </c>
      <c r="L54" s="15">
        <v>0.235</v>
      </c>
      <c r="M54" s="340">
        <v>15</v>
      </c>
      <c r="N54" s="44">
        <v>0</v>
      </c>
      <c r="T54" s="75"/>
      <c r="U54" s="75"/>
      <c r="V54" s="8"/>
      <c r="W54" s="8"/>
      <c r="X54" s="8"/>
      <c r="Y54" s="8"/>
      <c r="Z54" s="75"/>
    </row>
    <row r="55" spans="1:26" ht="16.5">
      <c r="A55" s="245" t="s">
        <v>106</v>
      </c>
      <c r="B55" s="305">
        <v>0.021</v>
      </c>
      <c r="C55" s="335">
        <v>25</v>
      </c>
      <c r="D55" s="345">
        <v>5.2</v>
      </c>
      <c r="E55" s="246"/>
      <c r="F55" s="245" t="s">
        <v>106</v>
      </c>
      <c r="G55" s="15">
        <v>0.967</v>
      </c>
      <c r="H55" s="338">
        <v>71</v>
      </c>
      <c r="I55" s="44">
        <v>16.4</v>
      </c>
      <c r="J55" s="252"/>
      <c r="K55" s="245" t="s">
        <v>106</v>
      </c>
      <c r="L55" s="15">
        <v>0.251</v>
      </c>
      <c r="M55" s="340">
        <v>100</v>
      </c>
      <c r="N55" s="44">
        <v>8</v>
      </c>
      <c r="T55" s="75"/>
      <c r="U55" s="75"/>
      <c r="V55" s="8"/>
      <c r="W55" s="8"/>
      <c r="X55" s="8"/>
      <c r="Y55" s="8"/>
      <c r="Z55" s="75"/>
    </row>
    <row r="56" spans="1:26" ht="12.75">
      <c r="A56" s="245" t="s">
        <v>107</v>
      </c>
      <c r="B56" s="344">
        <v>0.006</v>
      </c>
      <c r="C56" s="336">
        <v>21</v>
      </c>
      <c r="D56" s="346">
        <v>6.9</v>
      </c>
      <c r="E56" s="247"/>
      <c r="F56" s="245" t="s">
        <v>107</v>
      </c>
      <c r="G56" s="15">
        <v>0.883</v>
      </c>
      <c r="H56" s="338">
        <v>77</v>
      </c>
      <c r="I56" s="44">
        <v>31.1</v>
      </c>
      <c r="J56" s="252"/>
      <c r="K56" s="245" t="s">
        <v>107</v>
      </c>
      <c r="L56" s="15">
        <v>0.194</v>
      </c>
      <c r="M56" s="340">
        <v>24</v>
      </c>
      <c r="N56" s="44">
        <v>4.6</v>
      </c>
      <c r="T56" s="75"/>
      <c r="U56" s="75"/>
      <c r="V56" s="8"/>
      <c r="W56" s="8"/>
      <c r="X56" s="8"/>
      <c r="Y56" s="8"/>
      <c r="Z56" s="75"/>
    </row>
    <row r="57" spans="1:26" ht="12.75">
      <c r="A57" s="245" t="s">
        <v>108</v>
      </c>
      <c r="B57" s="344">
        <v>0</v>
      </c>
      <c r="C57" s="336">
        <v>21</v>
      </c>
      <c r="D57" s="346">
        <v>12.5</v>
      </c>
      <c r="E57" s="246"/>
      <c r="F57" s="245" t="s">
        <v>108</v>
      </c>
      <c r="G57" s="15">
        <v>0.84</v>
      </c>
      <c r="H57" s="338">
        <v>255</v>
      </c>
      <c r="I57" s="44">
        <v>290</v>
      </c>
      <c r="J57" s="252"/>
      <c r="K57" s="245" t="s">
        <v>108</v>
      </c>
      <c r="L57" s="15">
        <v>0.34199999999999997</v>
      </c>
      <c r="M57" s="340">
        <v>77</v>
      </c>
      <c r="N57" s="44">
        <v>24.2</v>
      </c>
      <c r="V57" s="8"/>
      <c r="W57" s="8"/>
      <c r="X57" s="8"/>
      <c r="Y57" s="8"/>
      <c r="Z57" s="75"/>
    </row>
    <row r="58" spans="1:26" ht="12.75">
      <c r="A58" s="245" t="s">
        <v>109</v>
      </c>
      <c r="B58" s="344">
        <v>0.169</v>
      </c>
      <c r="C58" s="336">
        <v>42</v>
      </c>
      <c r="D58" s="346">
        <v>7.9</v>
      </c>
      <c r="E58" s="247"/>
      <c r="F58" s="245" t="s">
        <v>109</v>
      </c>
      <c r="G58" s="15">
        <v>0.242</v>
      </c>
      <c r="H58" s="338">
        <v>125</v>
      </c>
      <c r="I58" s="44">
        <v>73.4</v>
      </c>
      <c r="J58" s="252"/>
      <c r="K58" s="245" t="s">
        <v>109</v>
      </c>
      <c r="L58" s="15">
        <v>0.187</v>
      </c>
      <c r="M58" s="340">
        <v>61</v>
      </c>
      <c r="N58" s="44">
        <v>29.4</v>
      </c>
      <c r="V58" s="8"/>
      <c r="W58" s="8"/>
      <c r="X58" s="8"/>
      <c r="Y58" s="8"/>
      <c r="Z58" s="75"/>
    </row>
    <row r="59" spans="1:26" ht="12.75">
      <c r="A59" s="245" t="s">
        <v>110</v>
      </c>
      <c r="B59" s="344">
        <v>0.129</v>
      </c>
      <c r="C59" s="336">
        <v>26</v>
      </c>
      <c r="D59" s="346">
        <v>13.2</v>
      </c>
      <c r="E59" s="247"/>
      <c r="F59" s="245" t="s">
        <v>110</v>
      </c>
      <c r="G59" s="15">
        <v>0.158</v>
      </c>
      <c r="H59" s="338">
        <v>64</v>
      </c>
      <c r="I59" s="44">
        <v>25</v>
      </c>
      <c r="J59" s="252"/>
      <c r="K59" s="245" t="s">
        <v>110</v>
      </c>
      <c r="L59" s="15">
        <v>0.149</v>
      </c>
      <c r="M59" s="340">
        <v>19</v>
      </c>
      <c r="N59" s="44">
        <v>8.8</v>
      </c>
      <c r="V59" s="8"/>
      <c r="W59" s="8"/>
      <c r="X59" s="8"/>
      <c r="Y59" s="8"/>
      <c r="Z59" s="75"/>
    </row>
    <row r="60" spans="1:14" ht="12.75">
      <c r="A60" s="245" t="s">
        <v>111</v>
      </c>
      <c r="B60" s="344">
        <v>0.14600000000000002</v>
      </c>
      <c r="C60" s="336">
        <v>35</v>
      </c>
      <c r="D60" s="346">
        <v>13.8</v>
      </c>
      <c r="E60" s="247"/>
      <c r="F60" s="245" t="s">
        <v>111</v>
      </c>
      <c r="G60" s="15">
        <v>0.236</v>
      </c>
      <c r="H60" s="338">
        <v>65</v>
      </c>
      <c r="I60" s="44">
        <v>13.3</v>
      </c>
      <c r="J60" s="252"/>
      <c r="K60" s="245" t="s">
        <v>111</v>
      </c>
      <c r="L60" s="15">
        <v>0.2245</v>
      </c>
      <c r="M60" s="340">
        <v>15</v>
      </c>
      <c r="N60" s="44">
        <v>10.1</v>
      </c>
    </row>
    <row r="61" spans="1:14" ht="12.75">
      <c r="A61" s="245" t="s">
        <v>112</v>
      </c>
      <c r="B61" s="344">
        <v>0.033</v>
      </c>
      <c r="C61" s="336">
        <v>440</v>
      </c>
      <c r="D61" s="346">
        <v>12.35</v>
      </c>
      <c r="E61" s="246"/>
      <c r="F61" s="245" t="s">
        <v>112</v>
      </c>
      <c r="G61" s="15">
        <v>0.569</v>
      </c>
      <c r="H61" s="338">
        <v>350</v>
      </c>
      <c r="I61" s="44">
        <v>69.25</v>
      </c>
      <c r="J61" s="252"/>
      <c r="K61" s="245" t="s">
        <v>112</v>
      </c>
      <c r="L61" s="15">
        <v>0.27849999999999997</v>
      </c>
      <c r="M61" s="340">
        <v>31</v>
      </c>
      <c r="N61" s="44">
        <v>10.65</v>
      </c>
    </row>
    <row r="62" spans="1:14" ht="12.75">
      <c r="A62" s="245" t="s">
        <v>113</v>
      </c>
      <c r="B62" s="344">
        <v>0.020499999999999997</v>
      </c>
      <c r="C62" s="336">
        <v>26</v>
      </c>
      <c r="D62" s="346">
        <v>10.95</v>
      </c>
      <c r="E62" s="247"/>
      <c r="F62" s="245" t="s">
        <v>113</v>
      </c>
      <c r="G62" s="15">
        <v>0.086</v>
      </c>
      <c r="H62" s="338">
        <v>79</v>
      </c>
      <c r="I62" s="44">
        <v>5.55</v>
      </c>
      <c r="J62" s="255"/>
      <c r="K62" s="245" t="s">
        <v>113</v>
      </c>
      <c r="L62" s="15">
        <v>0.8545</v>
      </c>
      <c r="M62" s="340">
        <v>35</v>
      </c>
      <c r="N62" s="44">
        <v>5.25</v>
      </c>
    </row>
    <row r="63" spans="1:27" ht="12.75">
      <c r="A63" s="245" t="s">
        <v>114</v>
      </c>
      <c r="B63" s="344">
        <v>0</v>
      </c>
      <c r="C63" s="336">
        <v>30</v>
      </c>
      <c r="D63" s="346">
        <v>14.1</v>
      </c>
      <c r="E63" s="246"/>
      <c r="F63" s="245" t="s">
        <v>114</v>
      </c>
      <c r="G63" s="15">
        <v>0.461</v>
      </c>
      <c r="H63" s="338">
        <v>62</v>
      </c>
      <c r="I63" s="44">
        <v>22.9</v>
      </c>
      <c r="J63" s="257"/>
      <c r="K63" s="245" t="s">
        <v>114</v>
      </c>
      <c r="L63" s="15">
        <v>0.332</v>
      </c>
      <c r="M63" s="340">
        <v>11</v>
      </c>
      <c r="N63" s="44">
        <v>4.2</v>
      </c>
      <c r="O63" s="258"/>
      <c r="T63" s="81"/>
      <c r="U63" s="79"/>
      <c r="V63" s="79"/>
      <c r="W63" s="79"/>
      <c r="X63" s="79"/>
      <c r="Y63" s="67"/>
      <c r="Z63" s="67"/>
      <c r="AA63" s="71"/>
    </row>
    <row r="64" spans="1:27" ht="12.75">
      <c r="A64" s="245" t="s">
        <v>115</v>
      </c>
      <c r="B64" s="344">
        <v>0.006</v>
      </c>
      <c r="C64" s="336">
        <v>19</v>
      </c>
      <c r="D64" s="346">
        <v>4.2</v>
      </c>
      <c r="E64" s="247"/>
      <c r="F64" s="245" t="s">
        <v>115</v>
      </c>
      <c r="G64" s="15">
        <v>0.451</v>
      </c>
      <c r="H64" s="338">
        <v>71</v>
      </c>
      <c r="I64" s="44">
        <v>35.6</v>
      </c>
      <c r="J64" s="218"/>
      <c r="K64" s="245" t="s">
        <v>115</v>
      </c>
      <c r="L64" s="15">
        <v>0.543</v>
      </c>
      <c r="M64" s="340">
        <v>21</v>
      </c>
      <c r="N64" s="44">
        <v>4.8</v>
      </c>
      <c r="O64" s="218"/>
      <c r="T64" s="69"/>
      <c r="U64" s="67"/>
      <c r="V64" s="67"/>
      <c r="W64" s="67"/>
      <c r="X64" s="70"/>
      <c r="Y64" s="67"/>
      <c r="Z64" s="67"/>
      <c r="AA64" s="71"/>
    </row>
    <row r="65" spans="1:27" ht="12.75">
      <c r="A65" s="245" t="s">
        <v>116</v>
      </c>
      <c r="B65" s="344">
        <v>0.043</v>
      </c>
      <c r="C65" s="336">
        <v>20</v>
      </c>
      <c r="D65" s="346">
        <v>4.2</v>
      </c>
      <c r="E65" s="247"/>
      <c r="F65" s="245" t="s">
        <v>116</v>
      </c>
      <c r="G65" s="76">
        <v>0.637</v>
      </c>
      <c r="H65" s="336">
        <v>100</v>
      </c>
      <c r="I65" s="346">
        <v>37</v>
      </c>
      <c r="J65" s="257"/>
      <c r="K65" s="245" t="s">
        <v>116</v>
      </c>
      <c r="L65" s="5">
        <v>0.601</v>
      </c>
      <c r="M65" s="341">
        <v>20</v>
      </c>
      <c r="N65" s="75">
        <v>0</v>
      </c>
      <c r="O65" s="258"/>
      <c r="V65" s="8"/>
      <c r="W65" s="8"/>
      <c r="X65" s="8"/>
      <c r="Y65" s="83"/>
      <c r="Z65" s="71"/>
      <c r="AA65" s="71"/>
    </row>
    <row r="66" spans="1:26" ht="12.75">
      <c r="A66" s="259" t="s">
        <v>451</v>
      </c>
      <c r="B66" s="260">
        <f>AVERAGE(B54:B65)</f>
        <v>0.06470833333333334</v>
      </c>
      <c r="C66" s="337">
        <f>AVERAGE(C54:C65)</f>
        <v>60.083333333333336</v>
      </c>
      <c r="D66" s="260">
        <f>AVERAGE(D54:D65)</f>
        <v>9.166666666666666</v>
      </c>
      <c r="E66" s="261"/>
      <c r="F66" s="218" t="s">
        <v>451</v>
      </c>
      <c r="G66" s="248">
        <f>AVERAGE(G54:G65)</f>
        <v>0.5650000000000001</v>
      </c>
      <c r="H66" s="339">
        <f>AVERAGE(H54:H65)</f>
        <v>119.91666666666667</v>
      </c>
      <c r="I66" s="248">
        <f>AVERAGE(I54:I65)</f>
        <v>54.008333333333326</v>
      </c>
      <c r="J66" s="257"/>
      <c r="K66" s="259" t="s">
        <v>451</v>
      </c>
      <c r="L66" s="260">
        <f>AVERAGE(L54:L65)</f>
        <v>0.3492916666666666</v>
      </c>
      <c r="M66" s="337">
        <f>AVERAGE(M54:M65)</f>
        <v>35.75</v>
      </c>
      <c r="N66" s="260">
        <f>AVERAGE(N54:N65)</f>
        <v>9.166666666666666</v>
      </c>
      <c r="O66" s="258"/>
      <c r="V66" s="8"/>
      <c r="W66" s="8"/>
      <c r="X66" s="8"/>
      <c r="Y66" s="8"/>
      <c r="Z66" s="75"/>
    </row>
    <row r="67" spans="5:19" ht="12.75" customHeight="1" hidden="1">
      <c r="E67" s="86"/>
      <c r="F67" s="86"/>
      <c r="G67" s="86"/>
      <c r="I67" s="71"/>
      <c r="J67" s="67"/>
      <c r="K67" s="70"/>
      <c r="L67" s="67"/>
      <c r="M67" s="67"/>
      <c r="N67" s="87"/>
      <c r="O67" s="87"/>
      <c r="P67" s="87"/>
      <c r="Q67" s="88"/>
      <c r="R67" s="89"/>
      <c r="S67" s="15"/>
    </row>
    <row r="68" spans="5:19" ht="12.75">
      <c r="E68" s="90"/>
      <c r="F68" s="90"/>
      <c r="G68" s="90"/>
      <c r="I68" s="71"/>
      <c r="J68" s="91"/>
      <c r="K68" s="73"/>
      <c r="L68" s="92"/>
      <c r="M68" s="92"/>
      <c r="N68" s="93"/>
      <c r="O68" s="94"/>
      <c r="P68" s="93"/>
      <c r="Q68" s="93"/>
      <c r="R68" s="93"/>
      <c r="S68" s="15"/>
    </row>
    <row r="69" spans="1:68" ht="12.75" customHeight="1">
      <c r="A69" s="95"/>
      <c r="B69" s="96"/>
      <c r="C69" s="97"/>
      <c r="D69" s="97"/>
      <c r="E69" s="97"/>
      <c r="F69" s="97"/>
      <c r="G69" s="97"/>
      <c r="H69" s="82"/>
      <c r="I69" s="92"/>
      <c r="J69" s="91"/>
      <c r="K69" s="73"/>
      <c r="L69" s="92"/>
      <c r="M69" s="92"/>
      <c r="N69" s="87"/>
      <c r="O69" s="94"/>
      <c r="P69" s="71"/>
      <c r="Q69" s="71"/>
      <c r="R69" s="71"/>
      <c r="S69" s="71"/>
      <c r="T69" s="71"/>
      <c r="U69" s="71"/>
      <c r="V69" s="83"/>
      <c r="W69" s="83"/>
      <c r="X69" s="83"/>
      <c r="Y69" s="83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</row>
    <row r="70" spans="1:68" ht="12.75" customHeight="1">
      <c r="A70" s="95"/>
      <c r="B70" s="15"/>
      <c r="C70" s="15"/>
      <c r="D70" s="15"/>
      <c r="E70" s="15"/>
      <c r="F70" s="97"/>
      <c r="G70" s="97"/>
      <c r="H70" s="82"/>
      <c r="I70" s="92"/>
      <c r="J70" s="91"/>
      <c r="K70" s="437" t="s">
        <v>445</v>
      </c>
      <c r="L70" s="437"/>
      <c r="M70" s="437"/>
      <c r="N70" s="437"/>
      <c r="O70" s="94"/>
      <c r="P70" s="71"/>
      <c r="Q70" s="71"/>
      <c r="R70" s="71"/>
      <c r="S70" s="71"/>
      <c r="T70" s="71"/>
      <c r="U70" s="71"/>
      <c r="V70" s="83"/>
      <c r="W70" s="83"/>
      <c r="X70" s="83"/>
      <c r="Y70" s="83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</row>
    <row r="71" spans="2:68" ht="27">
      <c r="B71" s="15"/>
      <c r="C71" s="15"/>
      <c r="D71" s="15"/>
      <c r="E71" s="15"/>
      <c r="F71" s="72"/>
      <c r="G71" s="72"/>
      <c r="H71" s="98"/>
      <c r="I71" s="82"/>
      <c r="J71" s="78"/>
      <c r="K71" s="253"/>
      <c r="L71" s="253" t="s">
        <v>446</v>
      </c>
      <c r="M71" s="333" t="s">
        <v>348</v>
      </c>
      <c r="N71" s="254" t="s">
        <v>452</v>
      </c>
      <c r="O71" s="94"/>
      <c r="P71" s="71"/>
      <c r="Q71" s="71"/>
      <c r="R71" s="71"/>
      <c r="S71" s="71"/>
      <c r="T71" s="71"/>
      <c r="U71" s="71"/>
      <c r="V71" s="83"/>
      <c r="W71" s="83"/>
      <c r="X71" s="83"/>
      <c r="Y71" s="83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</row>
    <row r="72" spans="2:68" ht="16.5">
      <c r="B72" s="15"/>
      <c r="C72" s="15"/>
      <c r="D72" s="15"/>
      <c r="E72" s="15"/>
      <c r="F72" s="72"/>
      <c r="G72" s="72"/>
      <c r="J72" s="78"/>
      <c r="L72" s="244" t="s">
        <v>504</v>
      </c>
      <c r="M72" s="334" t="s">
        <v>504</v>
      </c>
      <c r="N72" s="244" t="s">
        <v>166</v>
      </c>
      <c r="O72" s="94"/>
      <c r="P72" s="71"/>
      <c r="Q72" s="71"/>
      <c r="R72" s="71"/>
      <c r="S72" s="71"/>
      <c r="T72" s="71"/>
      <c r="U72" s="71"/>
      <c r="V72" s="83"/>
      <c r="W72" s="83"/>
      <c r="X72" s="83"/>
      <c r="Y72" s="83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</row>
    <row r="73" spans="2:68" ht="16.5">
      <c r="B73" s="15"/>
      <c r="C73" s="15"/>
      <c r="D73" s="44"/>
      <c r="E73" s="44"/>
      <c r="F73" s="345"/>
      <c r="G73" s="345"/>
      <c r="J73" s="78"/>
      <c r="K73" s="256" t="s">
        <v>105</v>
      </c>
      <c r="L73" s="44"/>
      <c r="M73" s="340">
        <v>16</v>
      </c>
      <c r="N73" s="345"/>
      <c r="O73" s="94"/>
      <c r="P73" s="99"/>
      <c r="Q73" s="99"/>
      <c r="R73" s="99"/>
      <c r="S73" s="99"/>
      <c r="T73" s="99"/>
      <c r="U73" s="99"/>
      <c r="V73" s="83"/>
      <c r="W73" s="83"/>
      <c r="X73" s="83"/>
      <c r="Y73" s="83"/>
      <c r="Z73" s="99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</row>
    <row r="74" spans="2:68" ht="16.5">
      <c r="B74" s="15"/>
      <c r="C74" s="15"/>
      <c r="D74" s="44"/>
      <c r="E74" s="44"/>
      <c r="F74" s="345"/>
      <c r="G74" s="345"/>
      <c r="H74" s="71"/>
      <c r="I74" s="71"/>
      <c r="J74" s="91"/>
      <c r="K74" s="256" t="s">
        <v>106</v>
      </c>
      <c r="L74" s="38">
        <v>0.4503333333333333</v>
      </c>
      <c r="M74" s="340">
        <v>18</v>
      </c>
      <c r="N74" s="345">
        <v>7.8</v>
      </c>
      <c r="O74" s="94"/>
      <c r="P74" s="99"/>
      <c r="Q74" s="99"/>
      <c r="R74" s="99"/>
      <c r="S74" s="99"/>
      <c r="T74" s="99"/>
      <c r="U74" s="99"/>
      <c r="V74" s="83"/>
      <c r="W74" s="83"/>
      <c r="X74" s="83"/>
      <c r="Y74" s="83"/>
      <c r="Z74" s="99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</row>
    <row r="75" spans="2:68" ht="12.75">
      <c r="B75" s="15"/>
      <c r="C75" s="15"/>
      <c r="D75" s="44"/>
      <c r="E75" s="44"/>
      <c r="F75" s="346"/>
      <c r="G75" s="347"/>
      <c r="H75" s="71"/>
      <c r="I75" s="71"/>
      <c r="J75" s="100"/>
      <c r="K75" s="256" t="s">
        <v>107</v>
      </c>
      <c r="L75" s="38">
        <v>0.49033333333333334</v>
      </c>
      <c r="M75" s="340">
        <v>26</v>
      </c>
      <c r="N75" s="346">
        <v>9.966666666666667</v>
      </c>
      <c r="O75" s="94"/>
      <c r="P75" s="71"/>
      <c r="Q75" s="71"/>
      <c r="R75" s="71"/>
      <c r="S75" s="71"/>
      <c r="T75" s="71"/>
      <c r="U75" s="71"/>
      <c r="V75" s="83"/>
      <c r="W75" s="83"/>
      <c r="X75" s="83"/>
      <c r="Y75" s="83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</row>
    <row r="76" spans="2:25" s="71" customFormat="1" ht="12.75">
      <c r="B76" s="15"/>
      <c r="C76" s="15"/>
      <c r="D76" s="44"/>
      <c r="E76" s="44"/>
      <c r="F76" s="346"/>
      <c r="G76" s="346"/>
      <c r="J76" s="100"/>
      <c r="K76" s="256" t="s">
        <v>108</v>
      </c>
      <c r="L76" s="38">
        <v>0.4486666666666666</v>
      </c>
      <c r="M76" s="340">
        <v>19</v>
      </c>
      <c r="N76" s="346">
        <v>8.9</v>
      </c>
      <c r="O76" s="94"/>
      <c r="V76" s="83"/>
      <c r="W76" s="83"/>
      <c r="X76" s="83"/>
      <c r="Y76" s="83"/>
    </row>
    <row r="77" spans="2:68" ht="12.75">
      <c r="B77" s="15"/>
      <c r="C77" s="15"/>
      <c r="D77" s="44"/>
      <c r="E77" s="44"/>
      <c r="F77" s="346"/>
      <c r="G77" s="347"/>
      <c r="H77" s="71"/>
      <c r="I77" s="71"/>
      <c r="J77" s="91"/>
      <c r="K77" s="256" t="s">
        <v>109</v>
      </c>
      <c r="L77" s="38">
        <v>0.622</v>
      </c>
      <c r="M77" s="340">
        <v>42</v>
      </c>
      <c r="N77" s="347">
        <v>8.2</v>
      </c>
      <c r="O77" s="94"/>
      <c r="P77" s="71"/>
      <c r="Q77" s="71"/>
      <c r="R77" s="71"/>
      <c r="S77" s="71"/>
      <c r="T77" s="71"/>
      <c r="U77" s="71"/>
      <c r="V77" s="83"/>
      <c r="W77" s="83"/>
      <c r="X77" s="83"/>
      <c r="Y77" s="83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</row>
    <row r="78" spans="2:68" ht="12.75">
      <c r="B78" s="15"/>
      <c r="C78" s="15"/>
      <c r="D78" s="44"/>
      <c r="E78" s="44"/>
      <c r="F78" s="346"/>
      <c r="G78" s="346"/>
      <c r="H78" s="71"/>
      <c r="I78" s="71"/>
      <c r="J78" s="91"/>
      <c r="K78" s="256" t="s">
        <v>110</v>
      </c>
      <c r="L78" s="38">
        <v>0.6386666666666667</v>
      </c>
      <c r="M78" s="340">
        <v>30</v>
      </c>
      <c r="N78" s="346">
        <v>12.2</v>
      </c>
      <c r="O78" s="87"/>
      <c r="P78" s="99"/>
      <c r="Q78" s="101"/>
      <c r="R78" s="99"/>
      <c r="S78" s="102"/>
      <c r="T78" s="102"/>
      <c r="U78" s="71"/>
      <c r="V78" s="83"/>
      <c r="W78" s="83"/>
      <c r="X78" s="83"/>
      <c r="Y78" s="83"/>
      <c r="Z78" s="99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</row>
    <row r="79" spans="2:68" ht="12.75">
      <c r="B79" s="15"/>
      <c r="C79" s="15"/>
      <c r="D79" s="44"/>
      <c r="E79" s="44"/>
      <c r="F79" s="346"/>
      <c r="G79" s="346"/>
      <c r="H79" s="71"/>
      <c r="I79" s="71"/>
      <c r="J79" s="91"/>
      <c r="K79" s="256" t="s">
        <v>111</v>
      </c>
      <c r="L79" s="38">
        <v>0.7033333333333333</v>
      </c>
      <c r="M79" s="340">
        <v>22</v>
      </c>
      <c r="N79" s="346">
        <v>11.1</v>
      </c>
      <c r="O79" s="87"/>
      <c r="P79" s="87"/>
      <c r="Q79" s="87"/>
      <c r="R79" s="87"/>
      <c r="S79" s="103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</row>
    <row r="80" spans="2:68" ht="12.75">
      <c r="B80" s="15"/>
      <c r="C80" s="15"/>
      <c r="D80" s="44"/>
      <c r="E80" s="44"/>
      <c r="F80" s="346"/>
      <c r="G80" s="346"/>
      <c r="H80" s="71"/>
      <c r="I80" s="71"/>
      <c r="J80" s="91"/>
      <c r="K80" s="256" t="s">
        <v>112</v>
      </c>
      <c r="L80" s="38">
        <v>0.5015</v>
      </c>
      <c r="M80" s="340">
        <v>30</v>
      </c>
      <c r="N80" s="346">
        <v>8.25</v>
      </c>
      <c r="O80" s="87"/>
      <c r="P80" s="87"/>
      <c r="Q80" s="104"/>
      <c r="R80" s="104"/>
      <c r="S80" s="105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</row>
    <row r="81" spans="2:68" ht="12.75">
      <c r="B81" s="15"/>
      <c r="C81" s="15"/>
      <c r="D81" s="44"/>
      <c r="E81" s="44"/>
      <c r="F81" s="346"/>
      <c r="G81" s="347"/>
      <c r="H81" s="71"/>
      <c r="I81" s="71"/>
      <c r="J81" s="91"/>
      <c r="K81" s="256" t="s">
        <v>113</v>
      </c>
      <c r="L81" s="38">
        <v>0.7313333333333333</v>
      </c>
      <c r="M81" s="340">
        <v>16</v>
      </c>
      <c r="N81" s="346">
        <v>10.383333333333335</v>
      </c>
      <c r="O81" s="87"/>
      <c r="P81" s="87"/>
      <c r="Q81" s="87"/>
      <c r="R81" s="87"/>
      <c r="S81" s="103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</row>
    <row r="82" spans="2:68" ht="12.75">
      <c r="B82" s="15"/>
      <c r="C82" s="15"/>
      <c r="D82" s="44"/>
      <c r="E82" s="44"/>
      <c r="F82" s="346"/>
      <c r="G82" s="346"/>
      <c r="H82" s="71"/>
      <c r="I82" s="71"/>
      <c r="J82" s="87"/>
      <c r="K82" s="256" t="s">
        <v>114</v>
      </c>
      <c r="L82" s="38">
        <v>0.63475</v>
      </c>
      <c r="M82" s="340">
        <v>26</v>
      </c>
      <c r="N82" s="346">
        <v>8.433333333333332</v>
      </c>
      <c r="O82" s="87"/>
      <c r="P82" s="106"/>
      <c r="Q82" s="107"/>
      <c r="R82" s="107"/>
      <c r="S82" s="68"/>
      <c r="T82" s="107"/>
      <c r="U82" s="107"/>
      <c r="V82" s="108"/>
      <c r="W82" s="67"/>
      <c r="X82" s="106"/>
      <c r="Y82" s="106"/>
      <c r="Z82" s="67"/>
      <c r="AA82" s="67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</row>
    <row r="83" spans="2:68" ht="12.75">
      <c r="B83" s="15"/>
      <c r="C83" s="15"/>
      <c r="D83" s="44"/>
      <c r="E83" s="44"/>
      <c r="F83" s="346"/>
      <c r="G83" s="347"/>
      <c r="H83" s="71"/>
      <c r="I83" s="71"/>
      <c r="J83" s="67"/>
      <c r="K83" s="256" t="s">
        <v>115</v>
      </c>
      <c r="L83" s="38">
        <v>0.42533333333333334</v>
      </c>
      <c r="M83" s="340">
        <v>24</v>
      </c>
      <c r="N83" s="347">
        <v>6.4</v>
      </c>
      <c r="O83" s="67"/>
      <c r="P83" s="69"/>
      <c r="Q83" s="69"/>
      <c r="R83" s="68"/>
      <c r="S83" s="69"/>
      <c r="T83" s="69"/>
      <c r="U83" s="67"/>
      <c r="V83" s="67"/>
      <c r="W83" s="67"/>
      <c r="X83" s="70"/>
      <c r="Y83" s="67"/>
      <c r="Z83" s="67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</row>
    <row r="84" spans="4:68" ht="12.75">
      <c r="D84" s="75"/>
      <c r="E84" s="346"/>
      <c r="F84" s="346"/>
      <c r="G84" s="346"/>
      <c r="H84" s="71"/>
      <c r="I84" s="71"/>
      <c r="J84" s="109"/>
      <c r="K84" s="256" t="s">
        <v>116</v>
      </c>
      <c r="L84" s="8"/>
      <c r="M84" s="342"/>
      <c r="N84" s="346"/>
      <c r="O84" s="87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</row>
    <row r="85" spans="5:68" ht="12.75">
      <c r="E85" s="77"/>
      <c r="F85" s="76"/>
      <c r="G85" s="76"/>
      <c r="H85" s="71"/>
      <c r="I85" s="71"/>
      <c r="J85" s="109"/>
      <c r="K85" s="256" t="s">
        <v>451</v>
      </c>
      <c r="L85" s="252">
        <f>AVERAGE(L73:L84)</f>
        <v>0.5646250000000002</v>
      </c>
      <c r="M85" s="343">
        <f>AVERAGE(M73:M84)</f>
        <v>24.454545454545453</v>
      </c>
      <c r="N85" s="262">
        <f>AVERAGE(N73:N84)</f>
        <v>9.163333333333334</v>
      </c>
      <c r="O85" s="87"/>
      <c r="P85" s="102"/>
      <c r="Q85" s="102"/>
      <c r="R85" s="102"/>
      <c r="S85" s="102"/>
      <c r="T85" s="102"/>
      <c r="U85" s="102"/>
      <c r="V85" s="99"/>
      <c r="W85" s="83"/>
      <c r="X85" s="83"/>
      <c r="Y85" s="83"/>
      <c r="Z85" s="102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</row>
    <row r="86" spans="5:68" ht="12.75">
      <c r="E86" s="76"/>
      <c r="F86" s="76"/>
      <c r="G86" s="76"/>
      <c r="H86" s="71"/>
      <c r="I86" s="71"/>
      <c r="J86" s="109"/>
      <c r="K86" s="73"/>
      <c r="L86" s="73"/>
      <c r="M86" s="92"/>
      <c r="N86" s="87"/>
      <c r="O86" s="87"/>
      <c r="P86" s="102"/>
      <c r="Q86" s="102"/>
      <c r="R86" s="102"/>
      <c r="S86" s="102"/>
      <c r="T86" s="102"/>
      <c r="U86" s="102"/>
      <c r="V86" s="99"/>
      <c r="W86" s="83"/>
      <c r="X86" s="83"/>
      <c r="Y86" s="83"/>
      <c r="Z86" s="102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</row>
    <row r="87" spans="5:68" ht="12.75">
      <c r="E87" s="84"/>
      <c r="F87" s="85"/>
      <c r="G87" s="85"/>
      <c r="H87" s="71"/>
      <c r="I87" s="71"/>
      <c r="J87" s="109"/>
      <c r="K87" s="73"/>
      <c r="L87" s="73"/>
      <c r="M87" s="92"/>
      <c r="N87" s="87"/>
      <c r="O87" s="87"/>
      <c r="P87" s="102"/>
      <c r="Q87" s="102"/>
      <c r="R87" s="102"/>
      <c r="S87" s="102"/>
      <c r="T87" s="102"/>
      <c r="U87" s="102"/>
      <c r="V87" s="99"/>
      <c r="W87" s="83"/>
      <c r="X87" s="83"/>
      <c r="Y87" s="83"/>
      <c r="Z87" s="102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</row>
    <row r="88" spans="1:68" ht="12.75">
      <c r="A88" s="95"/>
      <c r="B88" s="96"/>
      <c r="C88" s="110"/>
      <c r="D88" s="110"/>
      <c r="E88" s="111"/>
      <c r="F88" s="109"/>
      <c r="G88" s="109"/>
      <c r="H88" s="109"/>
      <c r="I88" s="92"/>
      <c r="J88" s="109"/>
      <c r="K88" s="73"/>
      <c r="L88" s="73"/>
      <c r="M88" s="92"/>
      <c r="N88" s="87"/>
      <c r="O88" s="87"/>
      <c r="P88" s="102"/>
      <c r="Q88" s="102"/>
      <c r="R88" s="102"/>
      <c r="S88" s="102"/>
      <c r="T88" s="102"/>
      <c r="U88" s="102"/>
      <c r="V88" s="99"/>
      <c r="W88" s="83"/>
      <c r="X88" s="83"/>
      <c r="Y88" s="83"/>
      <c r="Z88" s="102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</row>
    <row r="89" spans="5:68" ht="12.75">
      <c r="E89" s="111"/>
      <c r="F89" s="109"/>
      <c r="G89" s="109"/>
      <c r="H89" s="109"/>
      <c r="I89" s="92"/>
      <c r="J89" s="109"/>
      <c r="K89" s="73"/>
      <c r="L89" s="73"/>
      <c r="M89" s="92"/>
      <c r="N89" s="112"/>
      <c r="O89" s="87"/>
      <c r="P89" s="102"/>
      <c r="Q89" s="102"/>
      <c r="R89" s="102"/>
      <c r="S89" s="102"/>
      <c r="T89" s="102"/>
      <c r="U89" s="102"/>
      <c r="V89" s="99"/>
      <c r="W89" s="83"/>
      <c r="X89" s="83"/>
      <c r="Y89" s="83"/>
      <c r="Z89" s="102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</row>
    <row r="90" spans="6:68" ht="12.75">
      <c r="F90" s="109"/>
      <c r="G90" s="109"/>
      <c r="H90" s="109"/>
      <c r="I90" s="92"/>
      <c r="J90" s="109"/>
      <c r="K90" s="73"/>
      <c r="L90" s="73"/>
      <c r="M90" s="92"/>
      <c r="N90" s="106"/>
      <c r="O90" s="87"/>
      <c r="P90" s="102"/>
      <c r="Q90" s="102"/>
      <c r="R90" s="102"/>
      <c r="S90" s="102"/>
      <c r="T90" s="102"/>
      <c r="U90" s="102"/>
      <c r="V90" s="99"/>
      <c r="W90" s="83"/>
      <c r="X90" s="83"/>
      <c r="Y90" s="83"/>
      <c r="Z90" s="102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</row>
    <row r="91" spans="6:68" ht="12.75">
      <c r="F91" s="109"/>
      <c r="G91" s="109"/>
      <c r="H91" s="109"/>
      <c r="I91" s="92"/>
      <c r="J91" s="109"/>
      <c r="K91" s="73"/>
      <c r="L91" s="73"/>
      <c r="M91" s="92"/>
      <c r="N91" s="67"/>
      <c r="O91" s="87"/>
      <c r="P91" s="102"/>
      <c r="Q91" s="102"/>
      <c r="R91" s="102"/>
      <c r="S91" s="102"/>
      <c r="T91" s="102"/>
      <c r="U91" s="102"/>
      <c r="V91" s="99"/>
      <c r="W91" s="83"/>
      <c r="X91" s="83"/>
      <c r="Y91" s="83"/>
      <c r="Z91" s="102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</row>
    <row r="92" spans="6:68" ht="12.75">
      <c r="F92" s="109"/>
      <c r="G92" s="109"/>
      <c r="H92" s="109"/>
      <c r="I92" s="92"/>
      <c r="J92" s="109"/>
      <c r="K92" s="73"/>
      <c r="L92" s="73"/>
      <c r="M92" s="92"/>
      <c r="N92" s="67"/>
      <c r="O92" s="87"/>
      <c r="P92" s="102"/>
      <c r="Q92" s="102"/>
      <c r="R92" s="102"/>
      <c r="S92" s="102"/>
      <c r="T92" s="102"/>
      <c r="U92" s="102"/>
      <c r="V92" s="99"/>
      <c r="W92" s="83"/>
      <c r="X92" s="83"/>
      <c r="Y92" s="83"/>
      <c r="Z92" s="102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</row>
    <row r="93" spans="6:26" ht="12.75">
      <c r="F93" s="109"/>
      <c r="G93" s="109"/>
      <c r="H93" s="109"/>
      <c r="I93" s="92"/>
      <c r="J93" s="109"/>
      <c r="K93" s="73"/>
      <c r="L93" s="73"/>
      <c r="M93" s="92"/>
      <c r="N93" s="67"/>
      <c r="O93" s="89"/>
      <c r="P93" s="113"/>
      <c r="Q93" s="113"/>
      <c r="R93" s="113"/>
      <c r="S93" s="113"/>
      <c r="T93" s="113"/>
      <c r="U93" s="113"/>
      <c r="V93" s="75"/>
      <c r="W93" s="8"/>
      <c r="X93" s="8"/>
      <c r="Y93" s="8"/>
      <c r="Z93" s="113"/>
    </row>
    <row r="94" spans="6:26" ht="12.75">
      <c r="F94" s="109"/>
      <c r="G94" s="109"/>
      <c r="H94" s="109"/>
      <c r="I94" s="92"/>
      <c r="J94" s="109"/>
      <c r="K94" s="73"/>
      <c r="L94" s="73"/>
      <c r="M94" s="92"/>
      <c r="N94" s="87"/>
      <c r="O94" s="89"/>
      <c r="P94" s="113"/>
      <c r="Q94" s="113"/>
      <c r="R94" s="113"/>
      <c r="S94" s="113"/>
      <c r="T94" s="113"/>
      <c r="U94" s="113"/>
      <c r="V94" s="75"/>
      <c r="W94" s="8"/>
      <c r="X94" s="8"/>
      <c r="Y94" s="8"/>
      <c r="Z94" s="113"/>
    </row>
    <row r="95" spans="6:26" ht="12.75">
      <c r="F95" s="109"/>
      <c r="G95" s="109"/>
      <c r="H95" s="114"/>
      <c r="I95" s="92"/>
      <c r="J95" s="109"/>
      <c r="K95" s="73"/>
      <c r="L95" s="73"/>
      <c r="M95" s="92"/>
      <c r="N95" s="87"/>
      <c r="O95" s="89"/>
      <c r="P95" s="113"/>
      <c r="Q95" s="113"/>
      <c r="R95" s="113"/>
      <c r="S95" s="113"/>
      <c r="T95" s="113"/>
      <c r="U95" s="113"/>
      <c r="V95" s="75"/>
      <c r="W95" s="8"/>
      <c r="X95" s="8"/>
      <c r="Y95" s="8"/>
      <c r="Z95" s="113"/>
    </row>
    <row r="96" spans="6:15" ht="12.75">
      <c r="F96" s="109"/>
      <c r="G96" s="109"/>
      <c r="H96" s="114"/>
      <c r="I96" s="92"/>
      <c r="J96" s="109"/>
      <c r="K96" s="73"/>
      <c r="L96" s="73"/>
      <c r="M96" s="92"/>
      <c r="N96" s="87"/>
      <c r="O96" s="89"/>
    </row>
    <row r="97" spans="6:15" ht="12.75">
      <c r="F97" s="109"/>
      <c r="G97" s="109"/>
      <c r="H97" s="109"/>
      <c r="I97" s="92"/>
      <c r="J97" s="109"/>
      <c r="K97" s="73"/>
      <c r="L97" s="73"/>
      <c r="M97" s="92"/>
      <c r="N97" s="87"/>
      <c r="O97" s="89"/>
    </row>
    <row r="98" spans="6:15" ht="12.75">
      <c r="F98" s="109"/>
      <c r="G98" s="109"/>
      <c r="H98" s="109"/>
      <c r="I98" s="92"/>
      <c r="J98" s="109"/>
      <c r="K98" s="73"/>
      <c r="L98" s="73"/>
      <c r="M98" s="92"/>
      <c r="N98" s="87"/>
      <c r="O98" s="89"/>
    </row>
    <row r="99" spans="6:15" ht="12" customHeight="1">
      <c r="F99" s="109"/>
      <c r="G99" s="109"/>
      <c r="H99" s="109"/>
      <c r="I99" s="92"/>
      <c r="J99" s="109"/>
      <c r="K99" s="73"/>
      <c r="L99" s="73"/>
      <c r="M99" s="92"/>
      <c r="N99" s="87"/>
      <c r="O99" s="89"/>
    </row>
    <row r="100" spans="6:15" ht="12.75">
      <c r="F100" s="109"/>
      <c r="G100" s="109"/>
      <c r="H100" s="109"/>
      <c r="I100" s="92"/>
      <c r="J100" s="109"/>
      <c r="K100" s="73"/>
      <c r="L100" s="73"/>
      <c r="M100" s="92"/>
      <c r="N100" s="87"/>
      <c r="O100" s="89"/>
    </row>
    <row r="101" spans="6:15" ht="12.75">
      <c r="F101" s="109"/>
      <c r="G101" s="109"/>
      <c r="H101" s="109"/>
      <c r="I101" s="92"/>
      <c r="J101" s="109"/>
      <c r="K101" s="73"/>
      <c r="L101" s="73"/>
      <c r="M101" s="92"/>
      <c r="N101" s="87"/>
      <c r="O101" s="89"/>
    </row>
    <row r="102" spans="6:15" ht="12.75">
      <c r="F102" s="109"/>
      <c r="G102" s="109"/>
      <c r="H102" s="109"/>
      <c r="I102" s="92"/>
      <c r="J102" s="109"/>
      <c r="K102" s="73"/>
      <c r="L102" s="73"/>
      <c r="M102" s="92"/>
      <c r="N102" s="115"/>
      <c r="O102" s="116"/>
    </row>
    <row r="103" spans="6:15" ht="12.75">
      <c r="F103" s="110"/>
      <c r="G103" s="110"/>
      <c r="H103" s="110"/>
      <c r="I103" s="82"/>
      <c r="J103" s="110"/>
      <c r="K103" s="74"/>
      <c r="L103" s="74"/>
      <c r="M103" s="82"/>
      <c r="N103" s="117"/>
      <c r="O103" s="117"/>
    </row>
    <row r="104" spans="1:19" ht="12.75">
      <c r="A104" s="118"/>
      <c r="B104" s="119"/>
      <c r="C104" s="112"/>
      <c r="D104" s="112"/>
      <c r="E104" s="112"/>
      <c r="F104" s="112"/>
      <c r="G104" s="112"/>
      <c r="H104" s="112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1:19" ht="12.75">
      <c r="A105" s="118"/>
      <c r="B105" s="112"/>
      <c r="C105" s="119"/>
      <c r="D105" s="112"/>
      <c r="E105" s="112"/>
      <c r="F105" s="112"/>
      <c r="G105" s="112"/>
      <c r="H105" s="112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1:19" ht="12.75">
      <c r="A106" s="118"/>
      <c r="B106" s="112"/>
      <c r="C106" s="120"/>
      <c r="D106" s="120"/>
      <c r="E106" s="112"/>
      <c r="F106" s="112"/>
      <c r="G106" s="112"/>
      <c r="H106" s="112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:19" ht="12.75">
      <c r="A107" s="118"/>
      <c r="B107" s="112"/>
      <c r="C107" s="120"/>
      <c r="D107" s="120"/>
      <c r="E107" s="112"/>
      <c r="F107" s="112"/>
      <c r="G107" s="112"/>
      <c r="H107" s="112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1:19" ht="12.75">
      <c r="A108" s="118"/>
      <c r="B108" s="112"/>
      <c r="C108" s="120"/>
      <c r="D108" s="120"/>
      <c r="E108" s="112"/>
      <c r="F108" s="112"/>
      <c r="G108" s="112"/>
      <c r="H108" s="112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1:19" ht="12.75">
      <c r="A109" s="112"/>
      <c r="B109" s="112"/>
      <c r="C109" s="120"/>
      <c r="D109" s="120"/>
      <c r="E109" s="112"/>
      <c r="F109" s="112"/>
      <c r="G109" s="112"/>
      <c r="H109" s="112"/>
      <c r="I109" s="112"/>
      <c r="J109" s="15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1:19" ht="12.75">
      <c r="A110" s="112"/>
      <c r="B110" s="112"/>
      <c r="C110" s="120"/>
      <c r="D110" s="120"/>
      <c r="E110" s="112"/>
      <c r="F110" s="112"/>
      <c r="G110" s="112"/>
      <c r="H110" s="112"/>
      <c r="I110" s="112"/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19" ht="12.75">
      <c r="A111" s="112"/>
      <c r="B111" s="112"/>
      <c r="C111" s="120"/>
      <c r="D111" s="120"/>
      <c r="E111" s="112"/>
      <c r="F111" s="121"/>
      <c r="G111" s="122"/>
      <c r="H111" s="122"/>
      <c r="I111" s="112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1:19" ht="12.75">
      <c r="A112" s="112"/>
      <c r="B112" s="112"/>
      <c r="C112" s="120"/>
      <c r="D112" s="120"/>
      <c r="E112" s="112"/>
      <c r="F112" s="123"/>
      <c r="G112" s="119"/>
      <c r="H112" s="119"/>
      <c r="I112" s="112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1:19" ht="12.75">
      <c r="A113" s="112"/>
      <c r="B113" s="112"/>
      <c r="C113" s="120"/>
      <c r="D113" s="112"/>
      <c r="E113" s="112"/>
      <c r="F113" s="123"/>
      <c r="G113" s="119"/>
      <c r="H113" s="119"/>
      <c r="I113" s="112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1:19" ht="12.75">
      <c r="A114" s="112"/>
      <c r="B114" s="124"/>
      <c r="C114" s="125"/>
      <c r="D114" s="126"/>
      <c r="E114" s="126"/>
      <c r="F114" s="123"/>
      <c r="G114" s="119"/>
      <c r="H114" s="119"/>
      <c r="I114" s="112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1:19" ht="12.75">
      <c r="A115" s="112"/>
      <c r="B115" s="124"/>
      <c r="C115" s="124"/>
      <c r="D115" s="112"/>
      <c r="E115" s="112"/>
      <c r="F115" s="123"/>
      <c r="G115" s="119"/>
      <c r="H115" s="119"/>
      <c r="I115" s="112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19" ht="12.75">
      <c r="A116" s="112"/>
      <c r="B116" s="124"/>
      <c r="C116" s="124"/>
      <c r="D116" s="112"/>
      <c r="E116" s="112"/>
      <c r="F116" s="123"/>
      <c r="G116" s="119"/>
      <c r="H116" s="119"/>
      <c r="I116" s="112"/>
      <c r="J116" s="15"/>
      <c r="K116" s="15"/>
      <c r="L116" s="15"/>
      <c r="M116" s="15"/>
      <c r="N116" s="15"/>
      <c r="O116" s="15"/>
      <c r="P116" s="15"/>
      <c r="Q116" s="15"/>
      <c r="R116" s="15"/>
      <c r="S116" s="15"/>
    </row>
    <row r="117" spans="1:19" ht="12.75">
      <c r="A117" s="112"/>
      <c r="B117" s="124"/>
      <c r="C117" s="124"/>
      <c r="D117" s="112"/>
      <c r="E117" s="112"/>
      <c r="F117" s="123"/>
      <c r="G117" s="119"/>
      <c r="H117" s="119"/>
      <c r="I117" s="112"/>
      <c r="J117" s="15"/>
      <c r="K117" s="15"/>
      <c r="L117" s="15"/>
      <c r="M117" s="15"/>
      <c r="N117" s="15"/>
      <c r="O117" s="15"/>
      <c r="P117" s="15"/>
      <c r="Q117" s="15"/>
      <c r="R117" s="15"/>
      <c r="S117" s="15"/>
    </row>
    <row r="118" spans="1:19" ht="12.75">
      <c r="A118" s="112"/>
      <c r="B118" s="112"/>
      <c r="C118" s="119"/>
      <c r="D118" s="112"/>
      <c r="E118" s="112"/>
      <c r="F118" s="123"/>
      <c r="G118" s="119"/>
      <c r="H118" s="119"/>
      <c r="I118" s="112"/>
      <c r="J118" s="15"/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1:19" ht="12.75">
      <c r="A119" s="112"/>
      <c r="B119" s="112"/>
      <c r="C119" s="119"/>
      <c r="D119" s="112"/>
      <c r="E119" s="112"/>
      <c r="F119" s="123"/>
      <c r="G119" s="119"/>
      <c r="H119" s="119"/>
      <c r="I119" s="112"/>
      <c r="J119" s="15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1:19" ht="12.75">
      <c r="A120" s="15"/>
      <c r="B120" s="15"/>
      <c r="C120" s="15"/>
      <c r="D120" s="15"/>
      <c r="E120" s="15"/>
      <c r="F120" s="123"/>
      <c r="G120" s="119"/>
      <c r="H120" s="119"/>
      <c r="I120" s="112"/>
      <c r="J120" s="15"/>
      <c r="K120" s="15"/>
      <c r="L120" s="15"/>
      <c r="M120" s="15"/>
      <c r="N120" s="15"/>
      <c r="O120" s="15"/>
      <c r="P120" s="15"/>
      <c r="Q120" s="15"/>
      <c r="R120" s="15"/>
      <c r="S120" s="15"/>
    </row>
    <row r="121" spans="1:19" ht="12.75">
      <c r="A121" s="15"/>
      <c r="B121" s="15"/>
      <c r="C121" s="15"/>
      <c r="D121" s="15"/>
      <c r="E121" s="15"/>
      <c r="F121" s="123"/>
      <c r="G121" s="119"/>
      <c r="H121" s="119"/>
      <c r="I121" s="112"/>
      <c r="J121" s="15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1:19" ht="12.75">
      <c r="A122" s="15"/>
      <c r="B122" s="15"/>
      <c r="C122" s="15"/>
      <c r="D122" s="15"/>
      <c r="E122" s="15"/>
      <c r="F122" s="112"/>
      <c r="G122" s="112"/>
      <c r="H122" s="112"/>
      <c r="I122" s="112"/>
      <c r="J122" s="15"/>
      <c r="K122" s="15"/>
      <c r="L122" s="15"/>
      <c r="M122" s="15"/>
      <c r="N122" s="15"/>
      <c r="O122" s="15"/>
      <c r="P122" s="15"/>
      <c r="Q122" s="15"/>
      <c r="R122" s="15"/>
      <c r="S122" s="15"/>
    </row>
    <row r="123" spans="1:19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1:19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1:19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1:19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1:19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1:19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19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</row>
    <row r="130" spans="1:19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1:19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</row>
    <row r="132" spans="1:19" ht="12.75">
      <c r="A132" s="15"/>
      <c r="B132" s="38"/>
      <c r="C132" s="38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1:19" ht="12.75">
      <c r="A133" s="127"/>
      <c r="B133" s="38"/>
      <c r="C133" s="38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</row>
    <row r="134" spans="1:19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1:19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</row>
    <row r="136" spans="1:19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</row>
    <row r="137" spans="1:19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</row>
    <row r="138" spans="1:19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1:19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1:19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1:19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</row>
    <row r="142" spans="1:19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1:19" ht="12.75">
      <c r="A143" s="15"/>
      <c r="B143" s="38"/>
      <c r="C143" s="38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1:19" ht="12.75">
      <c r="A144" s="127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</row>
    <row r="145" spans="1:19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</row>
    <row r="146" spans="1:19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</row>
    <row r="147" spans="1:19" ht="12.75">
      <c r="A147" s="80"/>
      <c r="B147" s="80"/>
      <c r="C147" s="128"/>
      <c r="D147" s="129"/>
      <c r="E147" s="128"/>
      <c r="F147" s="80"/>
      <c r="G147" s="130"/>
      <c r="H147" s="130"/>
      <c r="I147" s="131"/>
      <c r="J147" s="80"/>
      <c r="K147" s="131"/>
      <c r="L147" s="131"/>
      <c r="M147" s="80"/>
      <c r="N147" s="80"/>
      <c r="O147" s="79"/>
      <c r="P147" s="131"/>
      <c r="Q147" s="79"/>
      <c r="R147" s="79"/>
      <c r="S147" s="131"/>
    </row>
    <row r="148" spans="1:19" ht="12.75">
      <c r="A148" s="132"/>
      <c r="B148" s="133"/>
      <c r="C148" s="116"/>
      <c r="D148" s="116"/>
      <c r="E148" s="116"/>
      <c r="F148" s="133"/>
      <c r="G148" s="134"/>
      <c r="H148" s="134"/>
      <c r="I148" s="89"/>
      <c r="J148" s="89"/>
      <c r="K148" s="89"/>
      <c r="L148" s="89"/>
      <c r="M148" s="89"/>
      <c r="N148" s="135"/>
      <c r="O148" s="89"/>
      <c r="P148" s="89"/>
      <c r="Q148" s="136"/>
      <c r="R148" s="136"/>
      <c r="S148" s="136"/>
    </row>
    <row r="149" spans="1:19" ht="12.75">
      <c r="A149" s="132"/>
      <c r="B149" s="133"/>
      <c r="C149" s="116"/>
      <c r="D149" s="116"/>
      <c r="E149" s="116"/>
      <c r="F149" s="133"/>
      <c r="G149" s="134"/>
      <c r="H149" s="134"/>
      <c r="I149" s="89"/>
      <c r="J149" s="89"/>
      <c r="K149" s="89"/>
      <c r="L149" s="117"/>
      <c r="M149" s="89"/>
      <c r="N149" s="135"/>
      <c r="O149" s="89"/>
      <c r="P149" s="89"/>
      <c r="Q149" s="89"/>
      <c r="R149" s="89"/>
      <c r="S149" s="117"/>
    </row>
    <row r="150" spans="1:19" ht="12.75">
      <c r="A150" s="132"/>
      <c r="B150" s="133"/>
      <c r="C150" s="116"/>
      <c r="D150" s="116"/>
      <c r="E150" s="116"/>
      <c r="F150" s="133"/>
      <c r="G150" s="134"/>
      <c r="H150" s="134"/>
      <c r="I150" s="89"/>
      <c r="J150" s="89"/>
      <c r="K150" s="89"/>
      <c r="L150" s="89"/>
      <c r="M150" s="89"/>
      <c r="N150" s="135"/>
      <c r="O150" s="89"/>
      <c r="P150" s="89"/>
      <c r="Q150" s="89"/>
      <c r="R150" s="89"/>
      <c r="S150" s="89"/>
    </row>
    <row r="151" spans="1:19" ht="12.75">
      <c r="A151" s="132"/>
      <c r="B151" s="133"/>
      <c r="C151" s="116"/>
      <c r="D151" s="116"/>
      <c r="E151" s="116"/>
      <c r="F151" s="137"/>
      <c r="G151" s="134"/>
      <c r="H151" s="134"/>
      <c r="I151" s="89"/>
      <c r="J151" s="89"/>
      <c r="K151" s="89"/>
      <c r="L151" s="89"/>
      <c r="M151" s="89"/>
      <c r="N151" s="135"/>
      <c r="O151" s="89"/>
      <c r="P151" s="89"/>
      <c r="Q151" s="89"/>
      <c r="R151" s="89"/>
      <c r="S151" s="89"/>
    </row>
    <row r="152" spans="1:19" ht="12.75">
      <c r="A152" s="132"/>
      <c r="B152" s="133"/>
      <c r="C152" s="116"/>
      <c r="D152" s="116"/>
      <c r="E152" s="116"/>
      <c r="F152" s="138"/>
      <c r="G152" s="134"/>
      <c r="H152" s="134"/>
      <c r="I152" s="138"/>
      <c r="J152" s="138"/>
      <c r="K152" s="89"/>
      <c r="L152" s="89"/>
      <c r="M152" s="89"/>
      <c r="N152" s="135"/>
      <c r="O152" s="89"/>
      <c r="P152" s="89"/>
      <c r="Q152" s="89"/>
      <c r="R152" s="89"/>
      <c r="S152" s="89"/>
    </row>
    <row r="153" spans="1:19" ht="12.75">
      <c r="A153" s="132"/>
      <c r="B153" s="133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</row>
    <row r="154" spans="1:19" ht="12.75">
      <c r="A154" s="132"/>
      <c r="B154" s="133"/>
      <c r="C154" s="116"/>
      <c r="D154" s="116"/>
      <c r="E154" s="116"/>
      <c r="F154" s="137"/>
      <c r="G154" s="134"/>
      <c r="H154" s="134"/>
      <c r="I154" s="89"/>
      <c r="J154" s="89"/>
      <c r="K154" s="117"/>
      <c r="L154" s="89"/>
      <c r="M154" s="117"/>
      <c r="N154" s="139"/>
      <c r="O154" s="117"/>
      <c r="P154" s="89"/>
      <c r="Q154" s="89"/>
      <c r="R154" s="89"/>
      <c r="S154" s="89"/>
    </row>
    <row r="155" spans="1:19" ht="12.75">
      <c r="A155" s="132"/>
      <c r="B155" s="133"/>
      <c r="C155" s="116"/>
      <c r="D155" s="116"/>
      <c r="E155" s="116"/>
      <c r="F155" s="137"/>
      <c r="G155" s="134"/>
      <c r="H155" s="134"/>
      <c r="I155" s="137"/>
      <c r="J155" s="137"/>
      <c r="K155" s="89"/>
      <c r="L155" s="89"/>
      <c r="M155" s="89"/>
      <c r="N155" s="135"/>
      <c r="O155" s="89"/>
      <c r="P155" s="89"/>
      <c r="Q155" s="89"/>
      <c r="R155" s="89"/>
      <c r="S155" s="89"/>
    </row>
    <row r="156" spans="1:19" ht="12.75">
      <c r="A156" s="132"/>
      <c r="B156" s="133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</row>
    <row r="157" spans="1:19" ht="12.75" hidden="1">
      <c r="A157" s="132"/>
      <c r="B157" s="133"/>
      <c r="C157" s="116"/>
      <c r="D157" s="116"/>
      <c r="E157" s="116"/>
      <c r="F157" s="137"/>
      <c r="G157" s="134"/>
      <c r="H157" s="134"/>
      <c r="I157" s="89"/>
      <c r="J157" s="89"/>
      <c r="K157" s="89"/>
      <c r="L157" s="89"/>
      <c r="M157" s="89"/>
      <c r="N157" s="135"/>
      <c r="O157" s="89"/>
      <c r="P157" s="89"/>
      <c r="Q157" s="89"/>
      <c r="R157" s="89"/>
      <c r="S157" s="89"/>
    </row>
    <row r="158" spans="1:19" ht="12.75" hidden="1">
      <c r="A158" s="132"/>
      <c r="B158" s="133"/>
      <c r="C158" s="116"/>
      <c r="D158" s="116"/>
      <c r="E158" s="116"/>
      <c r="F158" s="137"/>
      <c r="G158" s="134"/>
      <c r="H158" s="134"/>
      <c r="I158" s="137"/>
      <c r="J158" s="89"/>
      <c r="K158" s="89"/>
      <c r="L158" s="89"/>
      <c r="M158" s="89"/>
      <c r="N158" s="135"/>
      <c r="O158" s="89"/>
      <c r="P158" s="89"/>
      <c r="Q158" s="89"/>
      <c r="R158" s="89"/>
      <c r="S158" s="89"/>
    </row>
    <row r="159" spans="1:19" ht="12.75">
      <c r="A159" s="132"/>
      <c r="B159" s="133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</row>
    <row r="160" spans="1:19" ht="12.75">
      <c r="A160" s="132"/>
      <c r="B160" s="133"/>
      <c r="C160" s="116"/>
      <c r="D160" s="116"/>
      <c r="E160" s="116"/>
      <c r="F160" s="137"/>
      <c r="G160" s="134"/>
      <c r="H160" s="134"/>
      <c r="I160" s="89"/>
      <c r="J160" s="89"/>
      <c r="K160" s="89"/>
      <c r="L160" s="89"/>
      <c r="M160" s="89"/>
      <c r="N160" s="135"/>
      <c r="O160" s="89"/>
      <c r="P160" s="89"/>
      <c r="Q160" s="89"/>
      <c r="R160" s="89"/>
      <c r="S160" s="89"/>
    </row>
    <row r="161" spans="1:19" ht="12.75">
      <c r="A161" s="132"/>
      <c r="B161" s="133"/>
      <c r="C161" s="116"/>
      <c r="D161" s="116"/>
      <c r="E161" s="116"/>
      <c r="F161" s="137"/>
      <c r="G161" s="134"/>
      <c r="H161" s="134"/>
      <c r="I161" s="89"/>
      <c r="J161" s="89"/>
      <c r="K161" s="89"/>
      <c r="L161" s="89"/>
      <c r="M161" s="89"/>
      <c r="N161" s="135"/>
      <c r="O161" s="89"/>
      <c r="P161" s="89"/>
      <c r="Q161" s="89"/>
      <c r="R161" s="89"/>
      <c r="S161" s="89"/>
    </row>
    <row r="162" spans="1:19" ht="12.75">
      <c r="A162" s="132"/>
      <c r="B162" s="133"/>
      <c r="C162" s="116"/>
      <c r="D162" s="116"/>
      <c r="E162" s="116"/>
      <c r="F162" s="137"/>
      <c r="G162" s="134"/>
      <c r="H162" s="134"/>
      <c r="I162" s="89"/>
      <c r="J162" s="89"/>
      <c r="K162" s="89"/>
      <c r="L162" s="89"/>
      <c r="M162" s="89"/>
      <c r="N162" s="135"/>
      <c r="O162" s="89"/>
      <c r="P162" s="89"/>
      <c r="Q162" s="89"/>
      <c r="R162" s="89"/>
      <c r="S162" s="89"/>
    </row>
    <row r="163" spans="1:19" ht="12.75">
      <c r="A163" s="15"/>
      <c r="B163" s="15"/>
      <c r="C163" s="15"/>
      <c r="D163" s="36"/>
      <c r="E163" s="44"/>
      <c r="F163" s="15"/>
      <c r="G163" s="36"/>
      <c r="H163" s="36"/>
      <c r="I163" s="15"/>
      <c r="J163" s="15"/>
      <c r="K163" s="38"/>
      <c r="L163" s="15"/>
      <c r="M163" s="15"/>
      <c r="N163" s="15"/>
      <c r="O163" s="44"/>
      <c r="P163" s="15"/>
      <c r="Q163" s="15"/>
      <c r="R163" s="15"/>
      <c r="S163" s="15"/>
    </row>
    <row r="164" spans="1:19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</row>
    <row r="165" spans="1:19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</row>
    <row r="166" spans="1:19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</row>
    <row r="167" spans="1:19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</row>
    <row r="168" spans="1:19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</row>
    <row r="169" spans="1:19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</row>
  </sheetData>
  <mergeCells count="5">
    <mergeCell ref="K70:N70"/>
    <mergeCell ref="F1:G1"/>
    <mergeCell ref="A51:D51"/>
    <mergeCell ref="F51:I51"/>
    <mergeCell ref="K51:N51"/>
  </mergeCells>
  <printOptions/>
  <pageMargins left="0.75" right="0.75" top="1" bottom="1" header="0.5" footer="0.5"/>
  <pageSetup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P4" sqref="P4"/>
    </sheetView>
  </sheetViews>
  <sheetFormatPr defaultColWidth="9.140625" defaultRowHeight="12.75"/>
  <cols>
    <col min="1" max="1" width="8.7109375" style="21" bestFit="1" customWidth="1"/>
    <col min="2" max="12" width="7.8515625" style="15" bestFit="1" customWidth="1"/>
    <col min="13" max="13" width="8.7109375" style="15" bestFit="1" customWidth="1"/>
    <col min="14" max="16384" width="9.140625" style="15" customWidth="1"/>
  </cols>
  <sheetData>
    <row r="1" spans="1:15" ht="11.25">
      <c r="A1" s="440" t="s">
        <v>59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</row>
    <row r="2" spans="1:15" ht="11.25">
      <c r="A2" s="441" t="s">
        <v>60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</row>
    <row r="3" spans="1:3" ht="11.25">
      <c r="A3" s="31"/>
      <c r="B3" s="439" t="s">
        <v>61</v>
      </c>
      <c r="C3" s="439"/>
    </row>
    <row r="4" spans="1:15" ht="11.25">
      <c r="A4" s="32" t="s">
        <v>62</v>
      </c>
      <c r="B4" s="33">
        <v>38378</v>
      </c>
      <c r="C4" s="33">
        <v>38411</v>
      </c>
      <c r="D4" s="34">
        <v>38440</v>
      </c>
      <c r="E4" s="34">
        <v>38449</v>
      </c>
      <c r="F4" s="34">
        <v>38503</v>
      </c>
      <c r="G4" s="34">
        <v>38524</v>
      </c>
      <c r="H4" s="34">
        <v>38541</v>
      </c>
      <c r="I4" s="34">
        <v>38554</v>
      </c>
      <c r="J4" s="34">
        <v>38581</v>
      </c>
      <c r="K4" s="34">
        <v>38595</v>
      </c>
      <c r="L4" s="34">
        <v>38610</v>
      </c>
      <c r="M4" s="34">
        <v>38624</v>
      </c>
      <c r="N4" s="34">
        <v>38653</v>
      </c>
      <c r="O4" s="34">
        <v>38686</v>
      </c>
    </row>
    <row r="5" spans="1:16" ht="11.25">
      <c r="A5" s="21">
        <v>1</v>
      </c>
      <c r="C5" s="38">
        <v>8.4</v>
      </c>
      <c r="D5" s="38">
        <v>8.39</v>
      </c>
      <c r="E5" s="38">
        <v>8.39</v>
      </c>
      <c r="F5" s="38">
        <v>7.47</v>
      </c>
      <c r="G5" s="38">
        <v>7.46</v>
      </c>
      <c r="H5" s="38">
        <v>7.28</v>
      </c>
      <c r="I5" s="38">
        <v>7.52</v>
      </c>
      <c r="J5" s="38">
        <v>7.77</v>
      </c>
      <c r="K5" s="38">
        <v>7.67</v>
      </c>
      <c r="L5" s="38">
        <v>7.58</v>
      </c>
      <c r="M5" s="38">
        <v>7.48</v>
      </c>
      <c r="N5" s="38">
        <v>7.82</v>
      </c>
      <c r="O5" s="38">
        <v>8.26</v>
      </c>
      <c r="P5" s="38"/>
    </row>
    <row r="6" spans="1:16" ht="11.25">
      <c r="A6" s="21">
        <v>2</v>
      </c>
      <c r="C6" s="38">
        <v>8.37</v>
      </c>
      <c r="D6" s="38">
        <v>8.38</v>
      </c>
      <c r="E6" s="38">
        <v>8.35</v>
      </c>
      <c r="F6" s="38">
        <v>7.47</v>
      </c>
      <c r="G6" s="38">
        <v>7.44</v>
      </c>
      <c r="H6" s="38">
        <v>7.32</v>
      </c>
      <c r="I6" s="38">
        <v>7.5</v>
      </c>
      <c r="J6" s="38">
        <v>7.73</v>
      </c>
      <c r="K6" s="38">
        <v>7.63</v>
      </c>
      <c r="L6" s="38">
        <v>7.54</v>
      </c>
      <c r="M6" s="38">
        <v>7.48</v>
      </c>
      <c r="N6" s="38">
        <v>7.79</v>
      </c>
      <c r="O6" s="38">
        <v>8.16</v>
      </c>
      <c r="P6" s="38"/>
    </row>
    <row r="7" spans="1:16" ht="11.25">
      <c r="A7" s="21">
        <v>3</v>
      </c>
      <c r="C7" s="38">
        <v>8.35</v>
      </c>
      <c r="D7" s="38">
        <v>8.32</v>
      </c>
      <c r="E7" s="38">
        <v>8.31</v>
      </c>
      <c r="F7" s="38">
        <v>7.41</v>
      </c>
      <c r="G7" s="38">
        <v>7.39</v>
      </c>
      <c r="H7" s="38">
        <v>7.38</v>
      </c>
      <c r="I7" s="38">
        <v>7.45</v>
      </c>
      <c r="J7" s="38">
        <v>7.74</v>
      </c>
      <c r="K7" s="38">
        <v>7.55</v>
      </c>
      <c r="L7" s="38">
        <v>7.5</v>
      </c>
      <c r="M7" s="38">
        <v>7.51</v>
      </c>
      <c r="N7" s="38">
        <v>7.74</v>
      </c>
      <c r="O7" s="38">
        <v>8.14</v>
      </c>
      <c r="P7" s="38"/>
    </row>
    <row r="8" spans="1:16" ht="11.25">
      <c r="A8" s="21">
        <v>4</v>
      </c>
      <c r="C8" s="38">
        <v>8.31</v>
      </c>
      <c r="D8" s="38">
        <v>8.27</v>
      </c>
      <c r="E8" s="38">
        <v>8.28</v>
      </c>
      <c r="F8" s="38">
        <v>7.37</v>
      </c>
      <c r="G8" s="38">
        <v>7.4</v>
      </c>
      <c r="H8" s="38">
        <v>7.33</v>
      </c>
      <c r="I8" s="38">
        <v>7.34</v>
      </c>
      <c r="J8" s="38">
        <v>7.67</v>
      </c>
      <c r="K8" s="38">
        <v>7.42</v>
      </c>
      <c r="L8" s="38">
        <v>7.47</v>
      </c>
      <c r="M8" s="38">
        <v>7.43</v>
      </c>
      <c r="N8" s="38">
        <v>7.7</v>
      </c>
      <c r="O8" s="38">
        <v>8.05</v>
      </c>
      <c r="P8" s="38"/>
    </row>
    <row r="9" spans="1:16" ht="11.25">
      <c r="A9" s="21">
        <v>5</v>
      </c>
      <c r="C9" s="38">
        <v>8.27</v>
      </c>
      <c r="D9" s="38">
        <v>8.25</v>
      </c>
      <c r="E9" s="38">
        <v>8.26</v>
      </c>
      <c r="F9" s="38">
        <v>7.32</v>
      </c>
      <c r="G9" s="38">
        <v>7.37</v>
      </c>
      <c r="H9" s="38">
        <v>7.24</v>
      </c>
      <c r="I9" s="38">
        <v>7.04</v>
      </c>
      <c r="J9" s="38">
        <v>7.7</v>
      </c>
      <c r="K9" s="38">
        <v>7.33</v>
      </c>
      <c r="L9" s="38">
        <v>7.48</v>
      </c>
      <c r="M9" s="38">
        <v>7.4</v>
      </c>
      <c r="N9" s="38">
        <v>7.7</v>
      </c>
      <c r="O9" s="38">
        <v>7.95</v>
      </c>
      <c r="P9" s="38"/>
    </row>
    <row r="10" spans="1:16" ht="11.25">
      <c r="A10" s="21">
        <v>6</v>
      </c>
      <c r="C10" s="38">
        <v>8.23</v>
      </c>
      <c r="D10" s="38">
        <v>8.24</v>
      </c>
      <c r="E10" s="38">
        <v>8.24</v>
      </c>
      <c r="F10" s="38">
        <v>7.25</v>
      </c>
      <c r="G10" s="38">
        <v>7.39</v>
      </c>
      <c r="H10" s="38">
        <v>6.99</v>
      </c>
      <c r="I10" s="38">
        <v>6.65</v>
      </c>
      <c r="J10" s="38">
        <v>7.62</v>
      </c>
      <c r="K10" s="38">
        <v>7.35</v>
      </c>
      <c r="L10" s="38">
        <v>7.35</v>
      </c>
      <c r="M10" s="38">
        <v>7.36</v>
      </c>
      <c r="N10" s="38">
        <v>7.72</v>
      </c>
      <c r="O10" s="38">
        <v>7.8</v>
      </c>
      <c r="P10" s="38"/>
    </row>
    <row r="11" spans="1:16" ht="11.25">
      <c r="A11" s="21">
        <v>7</v>
      </c>
      <c r="C11" s="38">
        <v>8.19</v>
      </c>
      <c r="D11" s="38">
        <v>8.23</v>
      </c>
      <c r="E11" s="38">
        <v>8.2</v>
      </c>
      <c r="F11" s="38">
        <v>7.24</v>
      </c>
      <c r="G11" s="38">
        <v>7.34</v>
      </c>
      <c r="H11" s="38">
        <v>6.86</v>
      </c>
      <c r="I11" s="38">
        <v>6.45</v>
      </c>
      <c r="J11" s="38">
        <v>7.59</v>
      </c>
      <c r="K11" s="38">
        <v>7.53</v>
      </c>
      <c r="L11" s="38">
        <v>7.32</v>
      </c>
      <c r="M11" s="38">
        <v>7.33</v>
      </c>
      <c r="N11" s="38">
        <v>7.69</v>
      </c>
      <c r="O11" s="38">
        <v>7.79</v>
      </c>
      <c r="P11" s="38"/>
    </row>
    <row r="12" spans="1:16" ht="11.25">
      <c r="A12" s="21">
        <v>8</v>
      </c>
      <c r="C12" s="38">
        <v>8.1</v>
      </c>
      <c r="D12" s="38">
        <v>8.22</v>
      </c>
      <c r="E12" s="38">
        <v>8.18</v>
      </c>
      <c r="F12" s="38">
        <v>7.08</v>
      </c>
      <c r="G12" s="38">
        <v>7.25</v>
      </c>
      <c r="H12" s="38">
        <v>6.86</v>
      </c>
      <c r="I12" s="38">
        <v>6.33</v>
      </c>
      <c r="J12" s="38">
        <v>7.53</v>
      </c>
      <c r="K12" s="38">
        <v>7.48</v>
      </c>
      <c r="L12" s="38">
        <v>7.28</v>
      </c>
      <c r="M12" s="38">
        <v>7.28</v>
      </c>
      <c r="N12" s="38">
        <v>7.68</v>
      </c>
      <c r="O12" s="38">
        <v>7.77</v>
      </c>
      <c r="P12" s="38"/>
    </row>
    <row r="13" spans="1:16" ht="11.25">
      <c r="A13" s="21">
        <v>9</v>
      </c>
      <c r="C13" s="38">
        <v>8.05</v>
      </c>
      <c r="D13" s="38">
        <v>8.21</v>
      </c>
      <c r="E13" s="38">
        <v>8.09</v>
      </c>
      <c r="F13" s="38">
        <v>7.05</v>
      </c>
      <c r="G13" s="38">
        <v>6.96</v>
      </c>
      <c r="H13" s="38">
        <v>6.92</v>
      </c>
      <c r="I13" s="38">
        <v>6.2</v>
      </c>
      <c r="J13" s="38">
        <v>7.54</v>
      </c>
      <c r="K13" s="38">
        <v>7.2</v>
      </c>
      <c r="L13" s="38">
        <v>7.3</v>
      </c>
      <c r="M13" s="38">
        <v>7.2</v>
      </c>
      <c r="N13" s="38">
        <v>7.66</v>
      </c>
      <c r="O13" s="38">
        <v>7.76</v>
      </c>
      <c r="P13" s="38"/>
    </row>
    <row r="14" spans="1:16" ht="11.25">
      <c r="A14" s="21">
        <v>10</v>
      </c>
      <c r="C14" s="38">
        <v>7.99</v>
      </c>
      <c r="D14" s="38">
        <v>8.17</v>
      </c>
      <c r="E14" s="38">
        <v>7.94</v>
      </c>
      <c r="F14" s="38">
        <v>6.71</v>
      </c>
      <c r="G14" s="38">
        <v>6.91</v>
      </c>
      <c r="H14" s="38">
        <v>7</v>
      </c>
      <c r="I14" s="38">
        <v>6.08</v>
      </c>
      <c r="J14" s="38">
        <v>7.54</v>
      </c>
      <c r="K14" s="38">
        <v>7.08</v>
      </c>
      <c r="L14" s="38">
        <v>7.34</v>
      </c>
      <c r="M14" s="38">
        <v>7.13</v>
      </c>
      <c r="N14" s="38">
        <v>7.68</v>
      </c>
      <c r="O14" s="38">
        <v>7.75</v>
      </c>
      <c r="P14" s="38"/>
    </row>
    <row r="15" spans="1:13" ht="12" customHeight="1">
      <c r="A15" s="21">
        <v>11</v>
      </c>
      <c r="B15" s="21"/>
      <c r="C15" s="21"/>
      <c r="D15" s="21"/>
      <c r="F15" s="15">
        <v>6.7</v>
      </c>
      <c r="M15" s="15" t="s">
        <v>539</v>
      </c>
    </row>
    <row r="16" spans="1:4" ht="11.25">
      <c r="A16" s="439"/>
      <c r="B16" s="439"/>
      <c r="C16" s="439"/>
      <c r="D16" s="439"/>
    </row>
  </sheetData>
  <mergeCells count="4">
    <mergeCell ref="B3:C3"/>
    <mergeCell ref="A16:D16"/>
    <mergeCell ref="A1:O1"/>
    <mergeCell ref="A2:O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N42" sqref="N42"/>
    </sheetView>
  </sheetViews>
  <sheetFormatPr defaultColWidth="9.140625" defaultRowHeight="12.75"/>
  <cols>
    <col min="1" max="1" width="8.7109375" style="21" bestFit="1" customWidth="1"/>
    <col min="2" max="13" width="7.8515625" style="15" bestFit="1" customWidth="1"/>
    <col min="14" max="14" width="8.7109375" style="15" bestFit="1" customWidth="1"/>
    <col min="15" max="16384" width="9.140625" style="15" customWidth="1"/>
  </cols>
  <sheetData>
    <row r="1" spans="1:16" ht="11.25">
      <c r="A1" s="440" t="s">
        <v>59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</row>
    <row r="2" spans="1:16" ht="11.25">
      <c r="A2" s="441" t="s">
        <v>63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</row>
    <row r="3" spans="1:16" ht="16.5" customHeight="1">
      <c r="A3" s="32" t="s">
        <v>62</v>
      </c>
      <c r="B3" s="33">
        <v>38378</v>
      </c>
      <c r="C3" s="33">
        <v>38411</v>
      </c>
      <c r="D3" s="34">
        <v>38440</v>
      </c>
      <c r="E3" s="34">
        <v>38449</v>
      </c>
      <c r="F3" s="34">
        <v>38503</v>
      </c>
      <c r="G3" s="34">
        <v>38524</v>
      </c>
      <c r="H3" s="34">
        <v>38541</v>
      </c>
      <c r="I3" s="34">
        <v>38554</v>
      </c>
      <c r="J3" s="34">
        <v>38581</v>
      </c>
      <c r="K3" s="34">
        <v>38595</v>
      </c>
      <c r="L3" s="34">
        <v>38610</v>
      </c>
      <c r="M3" s="34">
        <v>38624</v>
      </c>
      <c r="N3" s="34">
        <v>38653</v>
      </c>
      <c r="O3" s="34">
        <v>38686</v>
      </c>
      <c r="P3" s="34"/>
    </row>
    <row r="4" spans="1:15" ht="11.25">
      <c r="A4" s="21">
        <v>1</v>
      </c>
      <c r="B4" s="21"/>
      <c r="C4" s="21">
        <v>4.7</v>
      </c>
      <c r="D4" s="21">
        <v>6.7</v>
      </c>
      <c r="E4" s="21">
        <v>7.8</v>
      </c>
      <c r="F4" s="21">
        <v>16.7</v>
      </c>
      <c r="G4" s="21">
        <v>19.9</v>
      </c>
      <c r="H4" s="21">
        <v>21.1</v>
      </c>
      <c r="I4" s="21">
        <v>23.1</v>
      </c>
      <c r="J4" s="21">
        <v>20.6</v>
      </c>
      <c r="K4" s="21">
        <v>20.3</v>
      </c>
      <c r="L4" s="15">
        <v>18.1</v>
      </c>
      <c r="M4" s="15">
        <v>16.7</v>
      </c>
      <c r="N4" s="21">
        <v>11.9</v>
      </c>
      <c r="O4" s="15">
        <v>3.8</v>
      </c>
    </row>
    <row r="5" spans="1:15" ht="11.25">
      <c r="A5" s="21">
        <v>2</v>
      </c>
      <c r="B5" s="21"/>
      <c r="C5" s="21">
        <v>4.6</v>
      </c>
      <c r="D5" s="21">
        <v>6.6</v>
      </c>
      <c r="E5" s="21">
        <v>7.5</v>
      </c>
      <c r="F5" s="21">
        <v>16.7</v>
      </c>
      <c r="G5" s="21">
        <v>19.5</v>
      </c>
      <c r="H5" s="21">
        <v>20.4</v>
      </c>
      <c r="I5" s="21">
        <v>22.6</v>
      </c>
      <c r="J5" s="21">
        <v>20.6</v>
      </c>
      <c r="K5" s="21">
        <v>20.3</v>
      </c>
      <c r="L5" s="15">
        <v>18.1</v>
      </c>
      <c r="M5" s="15">
        <v>16.6</v>
      </c>
      <c r="N5" s="21">
        <v>11.8</v>
      </c>
      <c r="O5" s="15">
        <v>3.8</v>
      </c>
    </row>
    <row r="6" spans="1:15" ht="11.25">
      <c r="A6" s="21">
        <v>3</v>
      </c>
      <c r="B6" s="21"/>
      <c r="C6" s="21">
        <v>4.5</v>
      </c>
      <c r="D6" s="21">
        <v>6.6</v>
      </c>
      <c r="E6" s="21">
        <v>7.5</v>
      </c>
      <c r="F6" s="21">
        <v>16.5</v>
      </c>
      <c r="G6" s="21">
        <v>19.4</v>
      </c>
      <c r="H6" s="21">
        <v>20.7</v>
      </c>
      <c r="I6" s="35">
        <v>22.5</v>
      </c>
      <c r="J6" s="35">
        <v>20.5</v>
      </c>
      <c r="K6" s="35">
        <v>20</v>
      </c>
      <c r="L6" s="36">
        <v>18.1</v>
      </c>
      <c r="M6" s="15">
        <v>16.6</v>
      </c>
      <c r="N6" s="35">
        <v>11.8</v>
      </c>
      <c r="O6" s="15">
        <v>3.8</v>
      </c>
    </row>
    <row r="7" spans="1:15" ht="11.25">
      <c r="A7" s="21">
        <v>4</v>
      </c>
      <c r="B7" s="21"/>
      <c r="C7" s="21">
        <v>4.4</v>
      </c>
      <c r="D7" s="21">
        <v>6.6</v>
      </c>
      <c r="E7" s="21">
        <v>7.5</v>
      </c>
      <c r="F7" s="21">
        <v>16.4</v>
      </c>
      <c r="G7" s="35">
        <v>19.4</v>
      </c>
      <c r="H7" s="21">
        <v>20.5</v>
      </c>
      <c r="I7" s="21">
        <v>22.4</v>
      </c>
      <c r="J7" s="21">
        <v>20.5</v>
      </c>
      <c r="K7" s="21">
        <v>19.9</v>
      </c>
      <c r="L7" s="36">
        <v>18.1</v>
      </c>
      <c r="M7" s="15">
        <v>16.5</v>
      </c>
      <c r="N7" s="21">
        <v>11.7</v>
      </c>
      <c r="O7" s="15">
        <v>3.8</v>
      </c>
    </row>
    <row r="8" spans="1:15" ht="11.25">
      <c r="A8" s="21">
        <v>5</v>
      </c>
      <c r="B8" s="21"/>
      <c r="C8" s="21">
        <v>4.5</v>
      </c>
      <c r="D8" s="21">
        <v>6.5</v>
      </c>
      <c r="E8" s="21">
        <v>7.5</v>
      </c>
      <c r="F8" s="21">
        <v>16.4</v>
      </c>
      <c r="G8" s="35">
        <v>19.4</v>
      </c>
      <c r="H8" s="21">
        <v>20.4</v>
      </c>
      <c r="I8" s="21">
        <v>22.3</v>
      </c>
      <c r="J8" s="21">
        <v>20.5</v>
      </c>
      <c r="K8" s="21">
        <v>19.9</v>
      </c>
      <c r="L8" s="36">
        <v>18.1</v>
      </c>
      <c r="M8" s="15">
        <v>16.5</v>
      </c>
      <c r="N8" s="21">
        <v>11.7</v>
      </c>
      <c r="O8" s="15">
        <v>3.8</v>
      </c>
    </row>
    <row r="9" spans="1:15" ht="11.25">
      <c r="A9" s="21">
        <v>6</v>
      </c>
      <c r="B9" s="21"/>
      <c r="C9" s="21">
        <v>4.4</v>
      </c>
      <c r="D9" s="21">
        <v>6.5</v>
      </c>
      <c r="E9" s="21">
        <v>7.5</v>
      </c>
      <c r="F9" s="21">
        <v>16.4</v>
      </c>
      <c r="G9" s="35">
        <v>19.4</v>
      </c>
      <c r="H9" s="21">
        <v>19.8</v>
      </c>
      <c r="I9" s="21">
        <v>21.7</v>
      </c>
      <c r="J9" s="21">
        <v>20.5</v>
      </c>
      <c r="K9" s="21">
        <v>19.9</v>
      </c>
      <c r="L9" s="15">
        <v>18.1</v>
      </c>
      <c r="M9" s="15">
        <v>16.5</v>
      </c>
      <c r="N9" s="21">
        <v>11.7</v>
      </c>
      <c r="O9" s="15">
        <v>3.8</v>
      </c>
    </row>
    <row r="10" spans="1:15" ht="11.25">
      <c r="A10" s="21">
        <v>7</v>
      </c>
      <c r="B10" s="21"/>
      <c r="C10" s="21">
        <v>4.4</v>
      </c>
      <c r="D10" s="35">
        <v>6.5</v>
      </c>
      <c r="E10" s="21">
        <v>7.5</v>
      </c>
      <c r="F10" s="21">
        <v>16.3</v>
      </c>
      <c r="G10" s="21">
        <v>19.4</v>
      </c>
      <c r="H10" s="21">
        <v>19.1</v>
      </c>
      <c r="I10" s="21">
        <v>21</v>
      </c>
      <c r="J10" s="21">
        <v>20.5</v>
      </c>
      <c r="K10" s="21">
        <v>19.8</v>
      </c>
      <c r="L10" s="15">
        <v>18.1</v>
      </c>
      <c r="M10" s="15">
        <v>16.5</v>
      </c>
      <c r="N10" s="21">
        <v>11.7</v>
      </c>
      <c r="O10" s="15">
        <v>3.8</v>
      </c>
    </row>
    <row r="11" spans="1:15" ht="11.25">
      <c r="A11" s="21">
        <v>8</v>
      </c>
      <c r="B11" s="21"/>
      <c r="C11" s="21">
        <v>4.5</v>
      </c>
      <c r="D11" s="21">
        <v>6.5</v>
      </c>
      <c r="E11" s="21">
        <v>7.5</v>
      </c>
      <c r="F11" s="21">
        <v>15.7</v>
      </c>
      <c r="G11" s="21">
        <v>19</v>
      </c>
      <c r="H11" s="37">
        <v>19</v>
      </c>
      <c r="I11" s="37">
        <v>20.7</v>
      </c>
      <c r="J11" s="37">
        <v>20.5</v>
      </c>
      <c r="K11" s="37">
        <v>19.8</v>
      </c>
      <c r="L11" s="15">
        <v>18</v>
      </c>
      <c r="M11" s="15">
        <v>16.4</v>
      </c>
      <c r="N11" s="21">
        <v>11.7</v>
      </c>
      <c r="O11" s="15">
        <v>3.8</v>
      </c>
    </row>
    <row r="12" spans="1:15" ht="11.25">
      <c r="A12" s="21">
        <v>9</v>
      </c>
      <c r="B12" s="21"/>
      <c r="C12" s="21">
        <v>4.5</v>
      </c>
      <c r="D12" s="21">
        <v>6.5</v>
      </c>
      <c r="E12" s="21">
        <v>7.5</v>
      </c>
      <c r="F12" s="21">
        <v>15.4</v>
      </c>
      <c r="G12" s="21">
        <v>16.5</v>
      </c>
      <c r="H12" s="21">
        <v>19</v>
      </c>
      <c r="I12" s="21">
        <v>20.6</v>
      </c>
      <c r="J12" s="21">
        <v>20.5</v>
      </c>
      <c r="K12" s="21">
        <v>19.8</v>
      </c>
      <c r="L12" s="15">
        <v>18</v>
      </c>
      <c r="M12" s="15">
        <v>16.4</v>
      </c>
      <c r="N12" s="21">
        <v>11.7</v>
      </c>
      <c r="O12" s="15">
        <v>3.7</v>
      </c>
    </row>
    <row r="13" spans="1:15" ht="11.25">
      <c r="A13" s="21">
        <v>10</v>
      </c>
      <c r="B13" s="21"/>
      <c r="C13" s="21">
        <v>4.5</v>
      </c>
      <c r="D13" s="21">
        <v>6.6</v>
      </c>
      <c r="E13" s="21">
        <v>7.5</v>
      </c>
      <c r="F13" s="21">
        <v>14.6</v>
      </c>
      <c r="G13" s="21">
        <v>16.5</v>
      </c>
      <c r="H13" s="21">
        <v>18.9</v>
      </c>
      <c r="I13" s="21">
        <v>20.5</v>
      </c>
      <c r="J13" s="35">
        <v>20.5</v>
      </c>
      <c r="K13" s="35">
        <v>19.7</v>
      </c>
      <c r="L13" s="15">
        <v>18</v>
      </c>
      <c r="M13" s="15">
        <v>16.3</v>
      </c>
      <c r="N13" s="21">
        <v>11.7</v>
      </c>
      <c r="O13" s="15">
        <v>3.7</v>
      </c>
    </row>
    <row r="14" ht="11.25">
      <c r="F14" s="15">
        <v>14.6</v>
      </c>
    </row>
  </sheetData>
  <mergeCells count="2">
    <mergeCell ref="A1:P1"/>
    <mergeCell ref="A2:P2"/>
  </mergeCells>
  <printOptions/>
  <pageMargins left="0.25" right="0.25" top="1" bottom="1" header="0.5" footer="0.5"/>
  <pageSetup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P21" sqref="P21"/>
    </sheetView>
  </sheetViews>
  <sheetFormatPr defaultColWidth="9.140625" defaultRowHeight="12.75"/>
  <cols>
    <col min="1" max="1" width="8.7109375" style="21" bestFit="1" customWidth="1"/>
    <col min="2" max="4" width="7.8515625" style="15" bestFit="1" customWidth="1"/>
    <col min="5" max="5" width="7.8515625" style="15" hidden="1" customWidth="1"/>
    <col min="6" max="13" width="7.8515625" style="15" bestFit="1" customWidth="1"/>
    <col min="14" max="14" width="8.7109375" style="15" bestFit="1" customWidth="1"/>
    <col min="15" max="16384" width="9.140625" style="15" customWidth="1"/>
  </cols>
  <sheetData>
    <row r="1" spans="1:16" ht="11.25">
      <c r="A1" s="440" t="s">
        <v>59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5"/>
    </row>
    <row r="2" spans="1:16" ht="11.25">
      <c r="A2" s="440" t="s">
        <v>64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5"/>
    </row>
    <row r="3" ht="11.25">
      <c r="A3" s="31"/>
    </row>
    <row r="4" spans="1:16" ht="11.25">
      <c r="A4" s="32" t="s">
        <v>62</v>
      </c>
      <c r="B4" s="33">
        <v>38378</v>
      </c>
      <c r="C4" s="33">
        <v>38411</v>
      </c>
      <c r="D4" s="34">
        <v>38440</v>
      </c>
      <c r="E4" s="34">
        <v>38449</v>
      </c>
      <c r="F4" s="34">
        <v>38503</v>
      </c>
      <c r="G4" s="34">
        <v>38524</v>
      </c>
      <c r="H4" s="34">
        <v>38541</v>
      </c>
      <c r="I4" s="34">
        <v>38554</v>
      </c>
      <c r="J4" s="34">
        <v>38581</v>
      </c>
      <c r="K4" s="34">
        <v>38595</v>
      </c>
      <c r="L4" s="34">
        <v>38610</v>
      </c>
      <c r="M4" s="34">
        <v>38624</v>
      </c>
      <c r="N4" s="34">
        <v>38653</v>
      </c>
      <c r="O4" s="34">
        <v>38686</v>
      </c>
      <c r="P4" s="292"/>
    </row>
    <row r="5" spans="1:16" ht="11.25">
      <c r="A5" s="21">
        <v>1</v>
      </c>
      <c r="C5" s="15">
        <v>11.49</v>
      </c>
      <c r="D5" s="15">
        <v>11.34</v>
      </c>
      <c r="F5" s="15">
        <v>9.01</v>
      </c>
      <c r="G5" s="38">
        <v>8.42</v>
      </c>
      <c r="H5" s="38">
        <v>7.63</v>
      </c>
      <c r="I5" s="38">
        <v>8.75</v>
      </c>
      <c r="J5" s="38">
        <v>8.27</v>
      </c>
      <c r="K5" s="38">
        <v>8.57</v>
      </c>
      <c r="L5" s="38">
        <v>8.07</v>
      </c>
      <c r="M5" s="38">
        <v>8.05</v>
      </c>
      <c r="N5" s="38">
        <v>10.48</v>
      </c>
      <c r="O5" s="38">
        <v>13.64</v>
      </c>
      <c r="P5" s="38"/>
    </row>
    <row r="6" spans="1:16" ht="11.25">
      <c r="A6" s="21">
        <v>2</v>
      </c>
      <c r="C6" s="38">
        <v>11.5</v>
      </c>
      <c r="D6" s="15">
        <v>11.33</v>
      </c>
      <c r="F6" s="15">
        <v>8.78</v>
      </c>
      <c r="G6" s="38">
        <v>8.4</v>
      </c>
      <c r="H6" s="38">
        <v>7.7</v>
      </c>
      <c r="I6" s="38">
        <v>8.58</v>
      </c>
      <c r="J6" s="38">
        <v>8.4</v>
      </c>
      <c r="K6" s="38">
        <v>8.4</v>
      </c>
      <c r="L6" s="38">
        <v>8.02</v>
      </c>
      <c r="M6" s="38">
        <v>8</v>
      </c>
      <c r="N6" s="38">
        <v>10.55</v>
      </c>
      <c r="O6" s="38">
        <v>13.52</v>
      </c>
      <c r="P6" s="38"/>
    </row>
    <row r="7" spans="1:16" ht="11.25">
      <c r="A7" s="21">
        <v>3</v>
      </c>
      <c r="C7" s="38">
        <v>11.5</v>
      </c>
      <c r="D7" s="15">
        <v>11.33</v>
      </c>
      <c r="E7" s="38"/>
      <c r="F7" s="15">
        <v>8.57</v>
      </c>
      <c r="G7" s="38">
        <v>8.4</v>
      </c>
      <c r="H7" s="38">
        <v>7.63</v>
      </c>
      <c r="I7" s="38">
        <v>8.51</v>
      </c>
      <c r="J7" s="38">
        <v>8.35</v>
      </c>
      <c r="K7" s="38">
        <v>8.35</v>
      </c>
      <c r="L7" s="38">
        <v>7.99</v>
      </c>
      <c r="M7" s="38">
        <v>7.17</v>
      </c>
      <c r="N7" s="38">
        <v>10.39</v>
      </c>
      <c r="O7" s="38">
        <v>13.63</v>
      </c>
      <c r="P7" s="38"/>
    </row>
    <row r="8" spans="1:16" ht="11.25">
      <c r="A8" s="21">
        <v>4</v>
      </c>
      <c r="C8" s="15">
        <v>11.51</v>
      </c>
      <c r="D8" s="15">
        <v>11.33</v>
      </c>
      <c r="E8" s="38"/>
      <c r="F8" s="15">
        <v>8.71</v>
      </c>
      <c r="G8" s="38">
        <v>8.11</v>
      </c>
      <c r="H8" s="38">
        <v>7.71</v>
      </c>
      <c r="I8" s="38">
        <v>8.44</v>
      </c>
      <c r="J8" s="38">
        <v>8.22</v>
      </c>
      <c r="K8" s="38">
        <v>8.18</v>
      </c>
      <c r="L8" s="38">
        <v>7.97</v>
      </c>
      <c r="M8" s="38">
        <v>7.45</v>
      </c>
      <c r="N8" s="38">
        <v>10.65</v>
      </c>
      <c r="O8" s="38">
        <v>13.72</v>
      </c>
      <c r="P8" s="38"/>
    </row>
    <row r="9" spans="1:16" ht="11.25">
      <c r="A9" s="21">
        <v>5</v>
      </c>
      <c r="C9" s="15">
        <v>11.51</v>
      </c>
      <c r="D9" s="38">
        <v>11.33</v>
      </c>
      <c r="E9" s="38"/>
      <c r="F9" s="15">
        <v>8.48</v>
      </c>
      <c r="G9" s="38">
        <v>8.44</v>
      </c>
      <c r="H9" s="38">
        <v>7.51</v>
      </c>
      <c r="I9" s="38">
        <v>8.35</v>
      </c>
      <c r="J9" s="38">
        <v>8.17</v>
      </c>
      <c r="K9" s="38">
        <v>7.65</v>
      </c>
      <c r="L9" s="38">
        <v>7.98</v>
      </c>
      <c r="M9" s="38">
        <v>7.99</v>
      </c>
      <c r="N9" s="38">
        <v>10.82</v>
      </c>
      <c r="O9" s="38">
        <v>13.74</v>
      </c>
      <c r="P9" s="38"/>
    </row>
    <row r="10" spans="1:16" ht="11.25">
      <c r="A10" s="21">
        <v>6</v>
      </c>
      <c r="C10" s="38">
        <v>11.52</v>
      </c>
      <c r="D10" s="38">
        <v>11.33</v>
      </c>
      <c r="E10" s="38"/>
      <c r="F10" s="15">
        <v>8.37</v>
      </c>
      <c r="G10" s="38">
        <v>8.31</v>
      </c>
      <c r="H10" s="38">
        <v>5.86</v>
      </c>
      <c r="I10" s="38">
        <v>6.65</v>
      </c>
      <c r="J10" s="38">
        <v>8.2</v>
      </c>
      <c r="K10" s="38">
        <v>7.6</v>
      </c>
      <c r="L10" s="38">
        <v>7.93</v>
      </c>
      <c r="M10" s="38">
        <v>7.93</v>
      </c>
      <c r="N10" s="38">
        <v>10.56</v>
      </c>
      <c r="O10" s="38">
        <v>13.7</v>
      </c>
      <c r="P10" s="38"/>
    </row>
    <row r="11" spans="1:16" ht="11.25">
      <c r="A11" s="21">
        <v>7</v>
      </c>
      <c r="C11" s="15">
        <v>11.52</v>
      </c>
      <c r="D11" s="38">
        <v>11.33</v>
      </c>
      <c r="F11" s="15">
        <v>8.25</v>
      </c>
      <c r="G11" s="38">
        <v>8.3</v>
      </c>
      <c r="H11" s="38">
        <v>4.71</v>
      </c>
      <c r="I11" s="38">
        <v>5.09</v>
      </c>
      <c r="J11" s="38">
        <v>8.28</v>
      </c>
      <c r="K11" s="38">
        <v>7.36</v>
      </c>
      <c r="L11" s="38">
        <v>7.92</v>
      </c>
      <c r="M11" s="38">
        <v>7.99</v>
      </c>
      <c r="N11" s="38">
        <v>10.53</v>
      </c>
      <c r="O11" s="38">
        <v>13.85</v>
      </c>
      <c r="P11" s="38"/>
    </row>
    <row r="12" spans="1:16" ht="11.25">
      <c r="A12" s="21">
        <v>8</v>
      </c>
      <c r="C12" s="15">
        <v>11.52</v>
      </c>
      <c r="D12" s="38">
        <v>11.33</v>
      </c>
      <c r="F12" s="15">
        <v>7.74</v>
      </c>
      <c r="G12" s="38">
        <v>7.94</v>
      </c>
      <c r="H12" s="38">
        <v>4.81</v>
      </c>
      <c r="I12" s="38">
        <v>4.83</v>
      </c>
      <c r="J12" s="38">
        <v>8.04</v>
      </c>
      <c r="K12" s="38">
        <v>7.31</v>
      </c>
      <c r="L12" s="38">
        <v>7.9</v>
      </c>
      <c r="M12" s="38">
        <v>8</v>
      </c>
      <c r="N12" s="38">
        <v>10.71</v>
      </c>
      <c r="O12" s="38">
        <v>13.81</v>
      </c>
      <c r="P12" s="38"/>
    </row>
    <row r="13" spans="1:16" ht="11.25">
      <c r="A13" s="21">
        <v>9</v>
      </c>
      <c r="C13" s="15">
        <v>11.52</v>
      </c>
      <c r="D13" s="38">
        <v>11.33</v>
      </c>
      <c r="F13" s="15">
        <v>7.58</v>
      </c>
      <c r="G13" s="38">
        <v>5.78</v>
      </c>
      <c r="H13" s="38">
        <v>4.25</v>
      </c>
      <c r="I13" s="38">
        <v>4.83</v>
      </c>
      <c r="J13" s="38">
        <v>8.23</v>
      </c>
      <c r="K13" s="38">
        <v>7.28</v>
      </c>
      <c r="L13" s="38">
        <v>7.9</v>
      </c>
      <c r="M13" s="38">
        <v>8</v>
      </c>
      <c r="N13" s="38">
        <v>10.87</v>
      </c>
      <c r="O13" s="38">
        <v>13.71</v>
      </c>
      <c r="P13" s="38"/>
    </row>
    <row r="14" spans="1:16" ht="11.25">
      <c r="A14" s="21">
        <v>10</v>
      </c>
      <c r="C14" s="15">
        <v>11.52</v>
      </c>
      <c r="D14" s="38">
        <v>11.32</v>
      </c>
      <c r="F14" s="15">
        <v>7.17</v>
      </c>
      <c r="G14" s="38">
        <v>5.68</v>
      </c>
      <c r="H14" s="38">
        <v>3.92</v>
      </c>
      <c r="I14" s="38">
        <v>4.51</v>
      </c>
      <c r="J14" s="38">
        <v>8.22</v>
      </c>
      <c r="K14" s="38">
        <v>6.98</v>
      </c>
      <c r="L14" s="38">
        <v>7.9</v>
      </c>
      <c r="M14" s="38">
        <v>8.19</v>
      </c>
      <c r="N14" s="38">
        <v>10.83</v>
      </c>
      <c r="O14" s="38">
        <v>13.61</v>
      </c>
      <c r="P14" s="38"/>
    </row>
    <row r="15" spans="6:16" ht="11.25">
      <c r="F15" s="15">
        <v>7.15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</row>
  </sheetData>
  <mergeCells count="2">
    <mergeCell ref="A1:O1"/>
    <mergeCell ref="A2:O2"/>
  </mergeCells>
  <printOptions/>
  <pageMargins left="0.75" right="0.75" top="1" bottom="1" header="0.5" footer="0.5"/>
  <pageSetup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P41" sqref="P41"/>
    </sheetView>
  </sheetViews>
  <sheetFormatPr defaultColWidth="9.140625" defaultRowHeight="12.75"/>
  <cols>
    <col min="1" max="1" width="8.7109375" style="21" bestFit="1" customWidth="1"/>
    <col min="2" max="2" width="7.8515625" style="21" bestFit="1" customWidth="1"/>
    <col min="3" max="13" width="7.8515625" style="15" bestFit="1" customWidth="1"/>
    <col min="14" max="14" width="8.7109375" style="15" bestFit="1" customWidth="1"/>
    <col min="15" max="16384" width="9.140625" style="15" customWidth="1"/>
  </cols>
  <sheetData>
    <row r="1" spans="1:16" ht="11.25">
      <c r="A1" s="440" t="s">
        <v>59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5"/>
    </row>
    <row r="2" spans="1:16" ht="11.25">
      <c r="A2" s="440" t="s">
        <v>65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5"/>
    </row>
    <row r="3" spans="1:16" ht="11.25">
      <c r="A3" s="32" t="s">
        <v>62</v>
      </c>
      <c r="B3" s="33">
        <v>38378</v>
      </c>
      <c r="C3" s="33">
        <v>38411</v>
      </c>
      <c r="D3" s="34">
        <v>38440</v>
      </c>
      <c r="E3" s="34">
        <v>38449</v>
      </c>
      <c r="F3" s="34">
        <v>38503</v>
      </c>
      <c r="G3" s="34">
        <v>38524</v>
      </c>
      <c r="H3" s="34">
        <v>38541</v>
      </c>
      <c r="I3" s="34">
        <v>38554</v>
      </c>
      <c r="J3" s="34">
        <v>38581</v>
      </c>
      <c r="K3" s="34">
        <v>38595</v>
      </c>
      <c r="L3" s="34">
        <v>38610</v>
      </c>
      <c r="M3" s="34">
        <v>38624</v>
      </c>
      <c r="N3" s="34">
        <v>38653</v>
      </c>
      <c r="O3" s="34">
        <v>38686</v>
      </c>
      <c r="P3" s="292"/>
    </row>
    <row r="4" spans="1:15" ht="11.25">
      <c r="A4" s="21">
        <v>1</v>
      </c>
      <c r="C4" s="21">
        <v>361</v>
      </c>
      <c r="D4" s="21">
        <v>355</v>
      </c>
      <c r="E4" s="21">
        <v>355</v>
      </c>
      <c r="F4" s="21">
        <v>231</v>
      </c>
      <c r="G4" s="21">
        <v>205</v>
      </c>
      <c r="H4" s="21">
        <v>199</v>
      </c>
      <c r="I4" s="21">
        <v>231</v>
      </c>
      <c r="J4" s="21">
        <v>224</v>
      </c>
      <c r="K4" s="21">
        <v>243</v>
      </c>
      <c r="L4" s="15">
        <v>250</v>
      </c>
      <c r="M4" s="15">
        <v>251</v>
      </c>
      <c r="N4" s="21">
        <v>289</v>
      </c>
      <c r="O4" s="21">
        <v>307</v>
      </c>
    </row>
    <row r="5" spans="1:15" ht="11.25">
      <c r="A5" s="21">
        <v>2</v>
      </c>
      <c r="C5" s="21">
        <v>361</v>
      </c>
      <c r="D5" s="21">
        <v>355</v>
      </c>
      <c r="E5" s="21">
        <v>355</v>
      </c>
      <c r="F5" s="21">
        <v>234</v>
      </c>
      <c r="G5" s="21">
        <v>205</v>
      </c>
      <c r="H5" s="21">
        <v>199</v>
      </c>
      <c r="I5" s="21">
        <v>231</v>
      </c>
      <c r="J5" s="21">
        <v>224</v>
      </c>
      <c r="K5" s="21">
        <v>243</v>
      </c>
      <c r="L5" s="15">
        <v>250</v>
      </c>
      <c r="M5" s="15">
        <v>251</v>
      </c>
      <c r="N5" s="21">
        <v>289</v>
      </c>
      <c r="O5" s="21">
        <v>307</v>
      </c>
    </row>
    <row r="6" spans="1:15" ht="11.25">
      <c r="A6" s="21">
        <v>3</v>
      </c>
      <c r="C6" s="21">
        <v>360</v>
      </c>
      <c r="D6" s="21">
        <v>355</v>
      </c>
      <c r="E6" s="21">
        <v>355</v>
      </c>
      <c r="F6" s="21">
        <v>235</v>
      </c>
      <c r="G6" s="21">
        <v>205</v>
      </c>
      <c r="H6" s="21">
        <v>199</v>
      </c>
      <c r="I6" s="21">
        <v>231</v>
      </c>
      <c r="J6" s="21">
        <v>224</v>
      </c>
      <c r="K6" s="21">
        <v>242</v>
      </c>
      <c r="L6" s="15">
        <v>250</v>
      </c>
      <c r="M6" s="15">
        <v>252</v>
      </c>
      <c r="N6" s="21">
        <v>289</v>
      </c>
      <c r="O6" s="21">
        <v>308</v>
      </c>
    </row>
    <row r="7" spans="1:15" ht="11.25">
      <c r="A7" s="21">
        <v>4</v>
      </c>
      <c r="C7" s="21">
        <v>361</v>
      </c>
      <c r="D7" s="21">
        <v>355</v>
      </c>
      <c r="E7" s="21">
        <v>355</v>
      </c>
      <c r="F7" s="21">
        <v>235</v>
      </c>
      <c r="G7" s="21">
        <v>205</v>
      </c>
      <c r="H7" s="21">
        <v>199</v>
      </c>
      <c r="I7" s="21">
        <v>231</v>
      </c>
      <c r="J7" s="21">
        <v>224</v>
      </c>
      <c r="K7" s="21">
        <v>243</v>
      </c>
      <c r="L7" s="15">
        <v>250</v>
      </c>
      <c r="M7" s="15">
        <v>252</v>
      </c>
      <c r="N7" s="21">
        <v>290</v>
      </c>
      <c r="O7" s="21">
        <v>308</v>
      </c>
    </row>
    <row r="8" spans="1:15" ht="11.25">
      <c r="A8" s="21">
        <v>5</v>
      </c>
      <c r="C8" s="21">
        <v>361</v>
      </c>
      <c r="D8" s="21">
        <v>355</v>
      </c>
      <c r="E8" s="21">
        <v>354</v>
      </c>
      <c r="F8" s="21">
        <v>235</v>
      </c>
      <c r="G8" s="21">
        <v>205</v>
      </c>
      <c r="H8" s="21">
        <v>200</v>
      </c>
      <c r="I8" s="21">
        <v>233</v>
      </c>
      <c r="J8" s="21">
        <v>225</v>
      </c>
      <c r="K8" s="21">
        <v>243</v>
      </c>
      <c r="L8" s="15">
        <v>250</v>
      </c>
      <c r="M8" s="15">
        <v>252</v>
      </c>
      <c r="N8" s="21">
        <v>290</v>
      </c>
      <c r="O8" s="21">
        <v>308</v>
      </c>
    </row>
    <row r="9" spans="1:15" ht="11.25">
      <c r="A9" s="21">
        <v>6</v>
      </c>
      <c r="C9" s="21">
        <v>361</v>
      </c>
      <c r="D9" s="21">
        <v>355</v>
      </c>
      <c r="E9" s="21">
        <v>354</v>
      </c>
      <c r="F9" s="21">
        <v>235</v>
      </c>
      <c r="G9" s="21">
        <v>205</v>
      </c>
      <c r="H9" s="21">
        <v>197</v>
      </c>
      <c r="I9" s="21">
        <v>232</v>
      </c>
      <c r="J9" s="21">
        <v>225</v>
      </c>
      <c r="K9" s="21">
        <v>243</v>
      </c>
      <c r="L9" s="15">
        <v>250</v>
      </c>
      <c r="M9" s="15">
        <v>252</v>
      </c>
      <c r="N9" s="21">
        <v>290</v>
      </c>
      <c r="O9" s="21">
        <v>308</v>
      </c>
    </row>
    <row r="10" spans="1:15" ht="11.25">
      <c r="A10" s="21">
        <v>7</v>
      </c>
      <c r="C10" s="21">
        <v>361</v>
      </c>
      <c r="D10" s="21">
        <v>355</v>
      </c>
      <c r="E10" s="21">
        <v>354</v>
      </c>
      <c r="F10" s="21">
        <v>235</v>
      </c>
      <c r="G10" s="21">
        <v>202</v>
      </c>
      <c r="H10" s="21">
        <v>191</v>
      </c>
      <c r="I10" s="21">
        <v>227</v>
      </c>
      <c r="J10" s="21">
        <v>221</v>
      </c>
      <c r="K10" s="21">
        <v>243</v>
      </c>
      <c r="L10" s="15">
        <v>250</v>
      </c>
      <c r="M10" s="15">
        <v>253</v>
      </c>
      <c r="N10" s="21">
        <v>286</v>
      </c>
      <c r="O10" s="21">
        <v>304</v>
      </c>
    </row>
    <row r="11" spans="1:15" ht="11.25">
      <c r="A11" s="21">
        <v>8</v>
      </c>
      <c r="C11" s="21">
        <v>361</v>
      </c>
      <c r="D11" s="21">
        <v>355</v>
      </c>
      <c r="E11" s="21">
        <v>354</v>
      </c>
      <c r="F11" s="21">
        <v>238</v>
      </c>
      <c r="G11" s="21">
        <v>205</v>
      </c>
      <c r="H11" s="21">
        <v>185</v>
      </c>
      <c r="I11" s="21">
        <v>223</v>
      </c>
      <c r="J11" s="21">
        <v>222</v>
      </c>
      <c r="K11" s="21">
        <v>243</v>
      </c>
      <c r="L11" s="15">
        <v>247</v>
      </c>
      <c r="M11" s="15">
        <v>250</v>
      </c>
      <c r="N11" s="21">
        <v>286</v>
      </c>
      <c r="O11" s="21">
        <v>304</v>
      </c>
    </row>
    <row r="12" spans="1:15" ht="11.25">
      <c r="A12" s="21">
        <v>9</v>
      </c>
      <c r="C12" s="21">
        <v>361</v>
      </c>
      <c r="D12" s="21">
        <v>354</v>
      </c>
      <c r="E12" s="21">
        <v>352</v>
      </c>
      <c r="F12" s="21">
        <v>238</v>
      </c>
      <c r="G12" s="21">
        <v>201</v>
      </c>
      <c r="H12" s="21">
        <v>186</v>
      </c>
      <c r="I12" s="21">
        <v>223</v>
      </c>
      <c r="J12" s="21">
        <v>222</v>
      </c>
      <c r="K12" s="21">
        <v>243</v>
      </c>
      <c r="L12" s="15">
        <v>247</v>
      </c>
      <c r="M12" s="15">
        <v>250</v>
      </c>
      <c r="N12" s="21">
        <v>286</v>
      </c>
      <c r="O12" s="21">
        <v>304</v>
      </c>
    </row>
    <row r="13" spans="1:15" ht="11.25">
      <c r="A13" s="21">
        <v>10</v>
      </c>
      <c r="C13" s="21">
        <v>361</v>
      </c>
      <c r="D13" s="21">
        <v>353</v>
      </c>
      <c r="E13" s="21">
        <v>351</v>
      </c>
      <c r="F13" s="21">
        <v>239</v>
      </c>
      <c r="G13" s="21">
        <v>200</v>
      </c>
      <c r="H13" s="21">
        <v>184</v>
      </c>
      <c r="I13" s="21">
        <v>222</v>
      </c>
      <c r="J13" s="21">
        <v>223</v>
      </c>
      <c r="K13" s="21">
        <v>240</v>
      </c>
      <c r="L13" s="15">
        <v>247</v>
      </c>
      <c r="M13" s="15">
        <v>251</v>
      </c>
      <c r="N13" s="21">
        <v>286</v>
      </c>
      <c r="O13" s="21">
        <v>305</v>
      </c>
    </row>
    <row r="14" spans="3:9" ht="11.25">
      <c r="C14" s="21"/>
      <c r="E14" s="21"/>
      <c r="F14" s="21">
        <v>239</v>
      </c>
      <c r="G14" s="21"/>
      <c r="H14" s="21"/>
      <c r="I14" s="21"/>
    </row>
  </sheetData>
  <mergeCells count="2">
    <mergeCell ref="A1:O1"/>
    <mergeCell ref="A2:O2"/>
  </mergeCells>
  <printOptions/>
  <pageMargins left="0.75" right="0.75" top="1" bottom="1" header="0.5" footer="0.5"/>
  <pageSetup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F12" sqref="F12"/>
    </sheetView>
  </sheetViews>
  <sheetFormatPr defaultColWidth="9.140625" defaultRowHeight="12.75"/>
  <cols>
    <col min="1" max="1" width="34.7109375" style="0" bestFit="1" customWidth="1"/>
    <col min="5" max="6" width="10.140625" style="0" bestFit="1" customWidth="1"/>
  </cols>
  <sheetData>
    <row r="1" spans="1:5" ht="12.75">
      <c r="A1" s="442" t="s">
        <v>122</v>
      </c>
      <c r="B1" s="442"/>
      <c r="C1" s="442"/>
      <c r="D1" s="442"/>
      <c r="E1" s="442"/>
    </row>
    <row r="2" spans="1:6" ht="12.75">
      <c r="A2" s="2" t="s">
        <v>0</v>
      </c>
      <c r="B2" s="1">
        <v>38411</v>
      </c>
      <c r="C2" s="1">
        <v>38471</v>
      </c>
      <c r="D2" s="1">
        <v>38503</v>
      </c>
      <c r="E2" s="1">
        <v>38686</v>
      </c>
      <c r="F2" s="1">
        <v>38708</v>
      </c>
    </row>
    <row r="3" spans="1:5" ht="12.75">
      <c r="A3" t="s">
        <v>1</v>
      </c>
      <c r="B3">
        <v>92</v>
      </c>
      <c r="D3">
        <v>68</v>
      </c>
      <c r="E3">
        <v>78</v>
      </c>
    </row>
    <row r="4" spans="1:5" ht="12.75">
      <c r="A4" t="s">
        <v>2</v>
      </c>
      <c r="B4">
        <v>86</v>
      </c>
      <c r="D4">
        <v>64</v>
      </c>
      <c r="E4">
        <v>80</v>
      </c>
    </row>
    <row r="5" spans="1:5" ht="12.75">
      <c r="A5" t="s">
        <v>3</v>
      </c>
      <c r="B5">
        <v>100</v>
      </c>
      <c r="D5">
        <v>62</v>
      </c>
      <c r="E5">
        <v>78</v>
      </c>
    </row>
    <row r="6" spans="1:4" ht="12.75">
      <c r="A6" t="s">
        <v>7</v>
      </c>
      <c r="D6">
        <v>210</v>
      </c>
    </row>
    <row r="7" spans="1:6" ht="12.75">
      <c r="A7" t="s">
        <v>4</v>
      </c>
      <c r="B7">
        <v>86</v>
      </c>
      <c r="D7">
        <v>64</v>
      </c>
      <c r="E7">
        <v>78</v>
      </c>
      <c r="F7">
        <v>78</v>
      </c>
    </row>
    <row r="8" spans="1:5" ht="12.75">
      <c r="A8" t="s">
        <v>5</v>
      </c>
      <c r="B8">
        <v>106</v>
      </c>
      <c r="D8">
        <v>68</v>
      </c>
      <c r="E8">
        <v>124</v>
      </c>
    </row>
    <row r="9" spans="1:5" ht="12.75">
      <c r="A9" t="s">
        <v>6</v>
      </c>
      <c r="B9">
        <v>68</v>
      </c>
      <c r="C9">
        <v>52</v>
      </c>
      <c r="D9">
        <v>56</v>
      </c>
      <c r="E9">
        <v>60</v>
      </c>
    </row>
  </sheetData>
  <mergeCells count="1">
    <mergeCell ref="A1:E1"/>
  </mergeCells>
  <printOptions/>
  <pageMargins left="0.75" right="0.75" top="1" bottom="1" header="0.5" footer="0.5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B1">
      <selection activeCell="N22" sqref="N22:N25"/>
    </sheetView>
  </sheetViews>
  <sheetFormatPr defaultColWidth="9.140625" defaultRowHeight="12.75"/>
  <cols>
    <col min="1" max="1" width="34.7109375" style="17" bestFit="1" customWidth="1"/>
    <col min="2" max="11" width="9.140625" style="17" customWidth="1"/>
    <col min="12" max="16" width="10.140625" style="17" bestFit="1" customWidth="1"/>
    <col min="17" max="16384" width="9.140625" style="17" customWidth="1"/>
  </cols>
  <sheetData>
    <row r="1" spans="1:13" ht="12">
      <c r="A1" s="443" t="s">
        <v>66</v>
      </c>
      <c r="B1" s="443"/>
      <c r="C1" s="443"/>
      <c r="D1" s="443"/>
      <c r="E1" s="443"/>
      <c r="F1" s="443"/>
      <c r="G1" s="443"/>
      <c r="H1" s="443"/>
      <c r="I1" s="443"/>
      <c r="J1" s="50"/>
      <c r="K1" s="50"/>
      <c r="L1" s="50"/>
      <c r="M1" s="50"/>
    </row>
    <row r="3" spans="1:16" ht="12.75">
      <c r="A3" s="2" t="s">
        <v>0</v>
      </c>
      <c r="B3" s="1">
        <v>38378</v>
      </c>
      <c r="C3" s="1">
        <v>38411</v>
      </c>
      <c r="D3" s="1">
        <v>38440</v>
      </c>
      <c r="E3" s="1">
        <v>38471</v>
      </c>
      <c r="F3" s="1">
        <v>38503</v>
      </c>
      <c r="G3" s="1">
        <v>38524</v>
      </c>
      <c r="H3" s="1">
        <v>38541</v>
      </c>
      <c r="I3" s="1">
        <v>38554</v>
      </c>
      <c r="J3" s="1">
        <v>38581</v>
      </c>
      <c r="K3" s="1">
        <v>38595</v>
      </c>
      <c r="L3" s="1">
        <v>38610</v>
      </c>
      <c r="M3" s="1">
        <v>38624</v>
      </c>
      <c r="N3" s="1">
        <v>38653</v>
      </c>
      <c r="O3" s="1">
        <v>38686</v>
      </c>
      <c r="P3" s="1">
        <v>38708</v>
      </c>
    </row>
    <row r="4" spans="1:16" ht="12.75">
      <c r="A4" t="s">
        <v>1</v>
      </c>
      <c r="B4"/>
      <c r="C4">
        <v>0.0015</v>
      </c>
      <c r="D4">
        <v>0</v>
      </c>
      <c r="E4"/>
      <c r="F4">
        <v>0.0008</v>
      </c>
      <c r="G4">
        <v>0.0006</v>
      </c>
      <c r="H4">
        <v>0.0009</v>
      </c>
      <c r="I4">
        <v>0.0008</v>
      </c>
      <c r="J4">
        <v>0.001</v>
      </c>
      <c r="K4">
        <v>0.0008</v>
      </c>
      <c r="L4">
        <v>0.0008</v>
      </c>
      <c r="M4">
        <v>0.0006</v>
      </c>
      <c r="N4">
        <v>0</v>
      </c>
      <c r="O4">
        <v>0</v>
      </c>
      <c r="P4"/>
    </row>
    <row r="5" spans="1:16" ht="12.75">
      <c r="A5" t="s">
        <v>2</v>
      </c>
      <c r="B5"/>
      <c r="C5"/>
      <c r="D5"/>
      <c r="E5"/>
      <c r="F5"/>
      <c r="G5"/>
      <c r="H5"/>
      <c r="I5"/>
      <c r="J5">
        <v>0.0008</v>
      </c>
      <c r="K5"/>
      <c r="L5"/>
      <c r="M5"/>
      <c r="N5"/>
      <c r="O5"/>
      <c r="P5"/>
    </row>
    <row r="6" spans="1:16" ht="12.75">
      <c r="A6" t="s">
        <v>3</v>
      </c>
      <c r="B6"/>
      <c r="C6"/>
      <c r="D6"/>
      <c r="E6"/>
      <c r="F6"/>
      <c r="G6"/>
      <c r="H6"/>
      <c r="I6"/>
      <c r="J6">
        <v>0.0008</v>
      </c>
      <c r="K6"/>
      <c r="L6"/>
      <c r="M6"/>
      <c r="N6"/>
      <c r="O6"/>
      <c r="P6"/>
    </row>
    <row r="7" spans="1:16" ht="12.75">
      <c r="A7" t="s">
        <v>4</v>
      </c>
      <c r="B7"/>
      <c r="C7"/>
      <c r="D7"/>
      <c r="E7"/>
      <c r="F7"/>
      <c r="G7"/>
      <c r="H7"/>
      <c r="I7"/>
      <c r="J7">
        <v>0.0008</v>
      </c>
      <c r="K7"/>
      <c r="L7"/>
      <c r="M7"/>
      <c r="N7"/>
      <c r="O7"/>
      <c r="P7"/>
    </row>
    <row r="8" spans="1:16" ht="12.75">
      <c r="A8" t="s">
        <v>5</v>
      </c>
      <c r="B8"/>
      <c r="C8"/>
      <c r="D8"/>
      <c r="E8"/>
      <c r="F8"/>
      <c r="G8"/>
      <c r="H8"/>
      <c r="I8"/>
      <c r="J8">
        <v>0.002</v>
      </c>
      <c r="K8"/>
      <c r="L8"/>
      <c r="M8"/>
      <c r="N8"/>
      <c r="O8"/>
      <c r="P8"/>
    </row>
    <row r="9" spans="1:16" ht="12.75">
      <c r="A9" t="s">
        <v>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0.0005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2.75">
      <c r="A10" t="s">
        <v>549</v>
      </c>
      <c r="B10"/>
      <c r="C10"/>
      <c r="D10"/>
      <c r="E10"/>
      <c r="F10"/>
      <c r="G10"/>
      <c r="H10"/>
      <c r="I10"/>
      <c r="J10"/>
      <c r="K10"/>
      <c r="L10"/>
      <c r="M10"/>
      <c r="N10">
        <v>0</v>
      </c>
      <c r="O10"/>
      <c r="P10"/>
    </row>
    <row r="11" spans="1:16" ht="12.75">
      <c r="A11" t="s">
        <v>550</v>
      </c>
      <c r="B11"/>
      <c r="C11"/>
      <c r="D11"/>
      <c r="E11"/>
      <c r="F11"/>
      <c r="G11"/>
      <c r="H11"/>
      <c r="I11"/>
      <c r="J11"/>
      <c r="K11"/>
      <c r="L11"/>
      <c r="M11"/>
      <c r="N11">
        <v>0.0008</v>
      </c>
      <c r="O11"/>
      <c r="P11"/>
    </row>
    <row r="12" spans="1:16" ht="12.75">
      <c r="A12" t="s">
        <v>551</v>
      </c>
      <c r="B12"/>
      <c r="C12"/>
      <c r="D12"/>
      <c r="E12"/>
      <c r="F12"/>
      <c r="G12"/>
      <c r="H12"/>
      <c r="I12"/>
      <c r="J12"/>
      <c r="K12"/>
      <c r="L12"/>
      <c r="M12"/>
      <c r="N12">
        <v>0</v>
      </c>
      <c r="O12"/>
      <c r="P12"/>
    </row>
    <row r="13" spans="1:16" ht="12.75">
      <c r="A13" t="s">
        <v>552</v>
      </c>
      <c r="B13"/>
      <c r="C13"/>
      <c r="D13"/>
      <c r="E13"/>
      <c r="F13"/>
      <c r="G13"/>
      <c r="H13"/>
      <c r="I13"/>
      <c r="J13"/>
      <c r="K13"/>
      <c r="L13"/>
      <c r="M13"/>
      <c r="N13">
        <v>0.0007</v>
      </c>
      <c r="O13"/>
      <c r="P13"/>
    </row>
    <row r="14" spans="1:9" ht="12">
      <c r="A14" s="443" t="s">
        <v>67</v>
      </c>
      <c r="B14" s="443"/>
      <c r="C14" s="443"/>
      <c r="D14" s="443"/>
      <c r="E14" s="443"/>
      <c r="F14" s="443"/>
      <c r="G14" s="443"/>
      <c r="H14" s="443"/>
      <c r="I14" s="443"/>
    </row>
    <row r="15" spans="1:16" ht="12.75">
      <c r="A15" s="18" t="s">
        <v>0</v>
      </c>
      <c r="B15" s="1">
        <v>38378</v>
      </c>
      <c r="C15" s="1">
        <v>38411</v>
      </c>
      <c r="D15" s="1">
        <v>38440</v>
      </c>
      <c r="E15" s="1">
        <v>38471</v>
      </c>
      <c r="F15" s="1">
        <v>38503</v>
      </c>
      <c r="G15" s="1">
        <v>38524</v>
      </c>
      <c r="H15" s="1">
        <v>38541</v>
      </c>
      <c r="I15" s="1">
        <v>38554</v>
      </c>
      <c r="J15" s="1">
        <v>38581</v>
      </c>
      <c r="K15" s="1">
        <v>38595</v>
      </c>
      <c r="L15" s="1">
        <v>38610</v>
      </c>
      <c r="M15" s="1">
        <v>38624</v>
      </c>
      <c r="N15" s="1">
        <v>38653</v>
      </c>
      <c r="O15" s="1">
        <v>38686</v>
      </c>
      <c r="P15" s="1">
        <v>38708</v>
      </c>
    </row>
    <row r="16" spans="1:17" ht="12">
      <c r="A16" s="17" t="s">
        <v>1</v>
      </c>
      <c r="C16" s="17">
        <v>1.5</v>
      </c>
      <c r="D16" s="17">
        <v>0</v>
      </c>
      <c r="F16" s="17">
        <v>0.8</v>
      </c>
      <c r="G16" s="17">
        <v>0.6</v>
      </c>
      <c r="H16" s="17">
        <v>0.9</v>
      </c>
      <c r="I16" s="17">
        <v>0.8</v>
      </c>
      <c r="J16" s="17">
        <v>1</v>
      </c>
      <c r="K16" s="17">
        <v>0.8</v>
      </c>
      <c r="L16" s="17">
        <v>0.8</v>
      </c>
      <c r="M16" s="17">
        <v>0.6</v>
      </c>
      <c r="N16" s="17">
        <v>0</v>
      </c>
      <c r="O16" s="17">
        <v>0</v>
      </c>
      <c r="Q16" s="17">
        <f aca="true" t="shared" si="0" ref="Q16:Q21">MAX(B16:P16)</f>
        <v>1.5</v>
      </c>
    </row>
    <row r="17" spans="1:17" ht="12">
      <c r="A17" s="17" t="s">
        <v>2</v>
      </c>
      <c r="J17" s="17">
        <v>0.8</v>
      </c>
      <c r="Q17" s="17">
        <f t="shared" si="0"/>
        <v>0.8</v>
      </c>
    </row>
    <row r="18" spans="1:17" ht="12">
      <c r="A18" s="17" t="s">
        <v>3</v>
      </c>
      <c r="J18" s="17">
        <v>0.8</v>
      </c>
      <c r="Q18" s="17">
        <f t="shared" si="0"/>
        <v>0.8</v>
      </c>
    </row>
    <row r="19" spans="1:17" ht="12">
      <c r="A19" s="17" t="s">
        <v>4</v>
      </c>
      <c r="J19" s="17">
        <v>0.8</v>
      </c>
      <c r="Q19" s="17">
        <f t="shared" si="0"/>
        <v>0.8</v>
      </c>
    </row>
    <row r="20" spans="1:17" ht="12">
      <c r="A20" s="17" t="s">
        <v>5</v>
      </c>
      <c r="J20" s="17">
        <v>2</v>
      </c>
      <c r="Q20" s="17">
        <f t="shared" si="0"/>
        <v>2</v>
      </c>
    </row>
    <row r="21" spans="1:17" ht="12">
      <c r="A21" s="17" t="s">
        <v>6</v>
      </c>
      <c r="J21" s="17">
        <v>0.5</v>
      </c>
      <c r="Q21" s="17">
        <f t="shared" si="0"/>
        <v>0.5</v>
      </c>
    </row>
    <row r="22" spans="1:14" ht="12.75">
      <c r="A22" t="s">
        <v>549</v>
      </c>
      <c r="N22" s="17">
        <v>0</v>
      </c>
    </row>
    <row r="23" spans="1:14" ht="12.75">
      <c r="A23" t="s">
        <v>550</v>
      </c>
      <c r="N23" s="17">
        <v>0.8</v>
      </c>
    </row>
    <row r="24" spans="1:14" ht="12.75">
      <c r="A24" t="s">
        <v>551</v>
      </c>
      <c r="N24" s="17">
        <v>0</v>
      </c>
    </row>
    <row r="25" spans="1:14" ht="12.75">
      <c r="A25" t="s">
        <v>552</v>
      </c>
      <c r="N25" s="17">
        <v>0.7</v>
      </c>
    </row>
  </sheetData>
  <mergeCells count="2">
    <mergeCell ref="A1:I1"/>
    <mergeCell ref="A14:I14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="85" zoomScaleNormal="85" workbookViewId="0" topLeftCell="A146">
      <pane ySplit="435" topLeftCell="BM1" activePane="bottomLeft" state="split"/>
      <selection pane="topLeft" activeCell="F146" sqref="F1:F16384"/>
      <selection pane="bottomLeft" activeCell="C44" sqref="C44"/>
    </sheetView>
  </sheetViews>
  <sheetFormatPr defaultColWidth="9.140625" defaultRowHeight="12.75"/>
  <cols>
    <col min="1" max="1" width="26.7109375" style="0" bestFit="1" customWidth="1"/>
    <col min="2" max="2" width="34.57421875" style="0" bestFit="1" customWidth="1"/>
    <col min="3" max="3" width="9.57421875" style="0" bestFit="1" customWidth="1"/>
    <col min="4" max="4" width="7.57421875" style="9" bestFit="1" customWidth="1"/>
    <col min="5" max="5" width="7.00390625" style="0" bestFit="1" customWidth="1"/>
  </cols>
  <sheetData>
    <row r="1" spans="1:5" ht="12.75">
      <c r="A1" s="3" t="s">
        <v>9</v>
      </c>
      <c r="B1" s="3" t="s">
        <v>10</v>
      </c>
      <c r="C1" s="3" t="s">
        <v>11</v>
      </c>
      <c r="D1" s="4" t="s">
        <v>12</v>
      </c>
      <c r="E1" s="3" t="s">
        <v>13</v>
      </c>
    </row>
    <row r="2" spans="1:5" ht="12.75">
      <c r="A2" s="5" t="s">
        <v>14</v>
      </c>
      <c r="B2" s="5" t="s">
        <v>15</v>
      </c>
      <c r="C2" s="5" t="s">
        <v>16</v>
      </c>
      <c r="D2" s="6">
        <v>0.0001</v>
      </c>
      <c r="E2">
        <v>0.0005</v>
      </c>
    </row>
    <row r="3" spans="1:5" ht="12.75">
      <c r="A3" s="5" t="s">
        <v>17</v>
      </c>
      <c r="B3" s="5" t="s">
        <v>15</v>
      </c>
      <c r="C3" s="5" t="s">
        <v>16</v>
      </c>
      <c r="D3" s="6">
        <v>0.0001</v>
      </c>
      <c r="E3">
        <v>0.0005</v>
      </c>
    </row>
    <row r="4" spans="1:5" ht="12.75">
      <c r="A4" s="5" t="s">
        <v>18</v>
      </c>
      <c r="B4" s="5" t="s">
        <v>19</v>
      </c>
      <c r="C4" s="5" t="s">
        <v>16</v>
      </c>
      <c r="D4" s="7">
        <v>0.0001</v>
      </c>
      <c r="E4">
        <v>0.0005</v>
      </c>
    </row>
    <row r="5" spans="1:5" ht="12.75">
      <c r="A5" s="5" t="s">
        <v>20</v>
      </c>
      <c r="B5" s="5" t="s">
        <v>21</v>
      </c>
      <c r="C5" s="5" t="s">
        <v>16</v>
      </c>
      <c r="D5" s="8">
        <v>1</v>
      </c>
      <c r="E5" s="5">
        <v>5</v>
      </c>
    </row>
    <row r="6" spans="1:5" ht="12.75">
      <c r="A6" s="5" t="s">
        <v>20</v>
      </c>
      <c r="B6" s="5" t="s">
        <v>21</v>
      </c>
      <c r="C6" t="s">
        <v>16</v>
      </c>
      <c r="D6" s="9">
        <v>1</v>
      </c>
      <c r="E6">
        <v>5</v>
      </c>
    </row>
    <row r="7" spans="1:4" ht="14.25">
      <c r="A7" s="5" t="s">
        <v>22</v>
      </c>
      <c r="B7" t="s">
        <v>23</v>
      </c>
      <c r="C7" t="s">
        <v>24</v>
      </c>
      <c r="D7" s="10">
        <v>0.1</v>
      </c>
    </row>
    <row r="8" spans="1:5" ht="12.75">
      <c r="A8" t="s">
        <v>25</v>
      </c>
      <c r="B8" t="s">
        <v>26</v>
      </c>
      <c r="C8" s="5" t="s">
        <v>16</v>
      </c>
      <c r="D8" s="11">
        <v>0.01</v>
      </c>
      <c r="E8">
        <v>0.05</v>
      </c>
    </row>
    <row r="9" spans="1:5" ht="12.75">
      <c r="A9" t="s">
        <v>27</v>
      </c>
      <c r="B9" t="s">
        <v>26</v>
      </c>
      <c r="C9" s="5" t="s">
        <v>16</v>
      </c>
      <c r="D9" s="11">
        <v>0.01</v>
      </c>
      <c r="E9">
        <v>0.05</v>
      </c>
    </row>
    <row r="10" spans="1:4" ht="12.75">
      <c r="A10" s="12" t="s">
        <v>28</v>
      </c>
      <c r="B10" t="s">
        <v>29</v>
      </c>
      <c r="C10" t="s">
        <v>30</v>
      </c>
      <c r="D10" s="13">
        <v>2</v>
      </c>
    </row>
    <row r="11" spans="1:4" ht="12.75">
      <c r="A11" t="s">
        <v>31</v>
      </c>
      <c r="B11" t="s">
        <v>32</v>
      </c>
      <c r="C11" t="s">
        <v>16</v>
      </c>
      <c r="D11" s="13">
        <v>1</v>
      </c>
    </row>
    <row r="12" spans="1:5" ht="12.75">
      <c r="A12" t="s">
        <v>33</v>
      </c>
      <c r="B12" t="s">
        <v>34</v>
      </c>
      <c r="C12" s="5" t="s">
        <v>16</v>
      </c>
      <c r="D12" s="11">
        <v>0.01</v>
      </c>
      <c r="E12">
        <v>0.05</v>
      </c>
    </row>
    <row r="13" spans="1:5" ht="12.75">
      <c r="A13" t="s">
        <v>35</v>
      </c>
      <c r="B13" t="s">
        <v>34</v>
      </c>
      <c r="C13" s="5" t="s">
        <v>16</v>
      </c>
      <c r="D13" s="11">
        <v>0.01</v>
      </c>
      <c r="E13">
        <v>0.05</v>
      </c>
    </row>
    <row r="14" spans="1:5" ht="12.75">
      <c r="A14" t="s">
        <v>36</v>
      </c>
      <c r="B14" t="s">
        <v>19</v>
      </c>
      <c r="C14" s="5" t="s">
        <v>16</v>
      </c>
      <c r="D14" s="7">
        <v>0.0001</v>
      </c>
      <c r="E14">
        <v>0.0005</v>
      </c>
    </row>
    <row r="15" spans="1:5" ht="12.75">
      <c r="A15" t="s">
        <v>37</v>
      </c>
      <c r="B15" t="s">
        <v>34</v>
      </c>
      <c r="C15" s="5" t="s">
        <v>16</v>
      </c>
      <c r="D15" s="9">
        <v>0.005</v>
      </c>
      <c r="E15">
        <v>0.03</v>
      </c>
    </row>
    <row r="16" spans="1:5" ht="12.75">
      <c r="A16" t="s">
        <v>38</v>
      </c>
      <c r="B16" t="s">
        <v>39</v>
      </c>
      <c r="C16" s="5" t="s">
        <v>16</v>
      </c>
      <c r="D16" s="7">
        <v>0.0002</v>
      </c>
      <c r="E16">
        <v>0.001</v>
      </c>
    </row>
    <row r="17" spans="1:5" ht="12.75">
      <c r="A17" t="s">
        <v>40</v>
      </c>
      <c r="B17" t="s">
        <v>26</v>
      </c>
      <c r="C17" s="5" t="s">
        <v>16</v>
      </c>
      <c r="D17" s="11">
        <v>0.01</v>
      </c>
      <c r="E17">
        <v>0.05</v>
      </c>
    </row>
    <row r="18" spans="1:4" ht="12.75">
      <c r="A18" t="s">
        <v>41</v>
      </c>
      <c r="B18" t="s">
        <v>42</v>
      </c>
      <c r="C18" t="s">
        <v>16</v>
      </c>
      <c r="D18" s="9">
        <v>0.005</v>
      </c>
    </row>
    <row r="19" spans="1:4" ht="12.75">
      <c r="A19" t="s">
        <v>43</v>
      </c>
      <c r="B19" t="s">
        <v>44</v>
      </c>
      <c r="C19" t="s">
        <v>16</v>
      </c>
      <c r="D19" s="9">
        <v>0.003</v>
      </c>
    </row>
    <row r="20" spans="1:4" ht="12.75">
      <c r="A20" t="s">
        <v>45</v>
      </c>
      <c r="B20" t="s">
        <v>46</v>
      </c>
      <c r="C20" t="s">
        <v>16</v>
      </c>
      <c r="D20" s="9">
        <v>0.004</v>
      </c>
    </row>
    <row r="21" spans="1:4" ht="12.75">
      <c r="A21" t="s">
        <v>47</v>
      </c>
      <c r="B21" t="s">
        <v>48</v>
      </c>
      <c r="C21" t="s">
        <v>16</v>
      </c>
      <c r="D21" s="9">
        <v>0.003</v>
      </c>
    </row>
    <row r="22" spans="1:4" ht="12.75">
      <c r="A22" t="s">
        <v>49</v>
      </c>
      <c r="B22" t="s">
        <v>50</v>
      </c>
      <c r="C22" t="s">
        <v>16</v>
      </c>
      <c r="D22" s="9">
        <v>0.002</v>
      </c>
    </row>
    <row r="23" spans="1:4" ht="12.75">
      <c r="A23" t="s">
        <v>51</v>
      </c>
      <c r="B23" t="s">
        <v>52</v>
      </c>
      <c r="C23" t="s">
        <v>16</v>
      </c>
      <c r="D23" s="9">
        <v>0.002</v>
      </c>
    </row>
    <row r="24" spans="1:4" ht="12.75">
      <c r="A24" t="s">
        <v>53</v>
      </c>
      <c r="B24" t="s">
        <v>54</v>
      </c>
      <c r="C24" t="s">
        <v>16</v>
      </c>
      <c r="D24" s="13">
        <v>4</v>
      </c>
    </row>
    <row r="25" spans="1:5" ht="12.75">
      <c r="A25" t="s">
        <v>55</v>
      </c>
      <c r="B25" t="s">
        <v>56</v>
      </c>
      <c r="C25" s="5" t="s">
        <v>16</v>
      </c>
      <c r="D25" s="9">
        <v>0.001</v>
      </c>
      <c r="E25">
        <v>0.005</v>
      </c>
    </row>
    <row r="26" spans="1:5" ht="12.75">
      <c r="A26" t="s">
        <v>57</v>
      </c>
      <c r="B26" t="s">
        <v>19</v>
      </c>
      <c r="C26" s="5" t="s">
        <v>16</v>
      </c>
      <c r="D26" s="6">
        <v>5E-05</v>
      </c>
      <c r="E26">
        <v>0.0003</v>
      </c>
    </row>
    <row r="27" spans="1:5" ht="12.75">
      <c r="A27" t="s">
        <v>58</v>
      </c>
      <c r="B27" t="s">
        <v>26</v>
      </c>
      <c r="C27" s="5" t="s">
        <v>16</v>
      </c>
      <c r="D27" s="11">
        <v>0.01</v>
      </c>
      <c r="E27">
        <v>0.05</v>
      </c>
    </row>
  </sheetData>
  <printOptions/>
  <pageMargins left="0.25" right="0.25" top="0.52" bottom="0.5" header="0.5" footer="0.5"/>
  <pageSetup horizontalDpi="300" verticalDpi="300" orientation="landscape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D4" sqref="D4"/>
    </sheetView>
  </sheetViews>
  <sheetFormatPr defaultColWidth="9.140625" defaultRowHeight="12.75"/>
  <cols>
    <col min="1" max="1" width="31.421875" style="15" bestFit="1" customWidth="1"/>
    <col min="2" max="16384" width="9.140625" style="15" customWidth="1"/>
  </cols>
  <sheetData>
    <row r="1" spans="1:9" ht="11.25">
      <c r="A1" s="441" t="s">
        <v>101</v>
      </c>
      <c r="B1" s="441"/>
      <c r="C1" s="441"/>
      <c r="D1" s="441"/>
      <c r="E1" s="441"/>
      <c r="F1" s="441"/>
      <c r="G1" s="441"/>
      <c r="H1" s="441"/>
      <c r="I1" s="441"/>
    </row>
    <row r="2" spans="1:3" ht="12.75">
      <c r="A2" s="16" t="s">
        <v>0</v>
      </c>
      <c r="B2" s="1">
        <v>38581</v>
      </c>
      <c r="C2" s="20"/>
    </row>
    <row r="3" spans="1:2" ht="12.75">
      <c r="A3" s="15" t="s">
        <v>8</v>
      </c>
      <c r="B3">
        <v>1.7</v>
      </c>
    </row>
  </sheetData>
  <mergeCells count="1">
    <mergeCell ref="A1:I1"/>
  </mergeCells>
  <printOptions/>
  <pageMargins left="0.75" right="0.75" top="1" bottom="1" header="0.5" footer="0.5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C18" sqref="C18"/>
    </sheetView>
  </sheetViews>
  <sheetFormatPr defaultColWidth="9.140625" defaultRowHeight="12.75"/>
  <cols>
    <col min="1" max="1" width="35.7109375" style="14" bestFit="1" customWidth="1"/>
    <col min="2" max="14" width="7.8515625" style="14" bestFit="1" customWidth="1"/>
    <col min="15" max="15" width="9.140625" style="14" customWidth="1"/>
    <col min="16" max="16" width="7.8515625" style="14" bestFit="1" customWidth="1"/>
    <col min="17" max="17" width="8.7109375" style="14" bestFit="1" customWidth="1"/>
    <col min="18" max="16384" width="9.140625" style="14" customWidth="1"/>
  </cols>
  <sheetData>
    <row r="1" spans="1:19" ht="11.25">
      <c r="A1" s="440" t="s">
        <v>138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8"/>
      <c r="Q1" s="48"/>
      <c r="R1" s="48"/>
      <c r="S1" s="48"/>
    </row>
    <row r="3" spans="1:19" ht="12.75">
      <c r="A3" s="2" t="s">
        <v>0</v>
      </c>
      <c r="B3" s="1">
        <v>38378</v>
      </c>
      <c r="C3" s="1">
        <v>38411</v>
      </c>
      <c r="D3" s="1">
        <v>38440</v>
      </c>
      <c r="E3" s="1">
        <v>38581</v>
      </c>
      <c r="F3" s="311"/>
      <c r="G3" s="311"/>
      <c r="H3" s="311"/>
      <c r="I3" s="311"/>
      <c r="J3" s="311"/>
      <c r="K3" s="311"/>
      <c r="L3" s="311"/>
      <c r="M3" s="311"/>
      <c r="N3" s="311"/>
      <c r="O3" s="312"/>
      <c r="P3" s="312"/>
      <c r="Q3" s="287"/>
      <c r="R3" s="287"/>
      <c r="S3" s="287"/>
    </row>
    <row r="4" spans="1:19" ht="12.75">
      <c r="A4" t="s">
        <v>1</v>
      </c>
      <c r="B4"/>
      <c r="C4">
        <v>0</v>
      </c>
      <c r="D4">
        <v>0</v>
      </c>
      <c r="E4">
        <v>0</v>
      </c>
      <c r="O4" s="15"/>
      <c r="P4" s="15"/>
      <c r="Q4" s="15"/>
      <c r="R4" s="15"/>
      <c r="S4" s="15"/>
    </row>
    <row r="5" spans="1:19" ht="12.75">
      <c r="A5" t="s">
        <v>2</v>
      </c>
      <c r="B5"/>
      <c r="C5"/>
      <c r="D5"/>
      <c r="E5">
        <v>0</v>
      </c>
      <c r="O5" s="15"/>
      <c r="P5" s="15"/>
      <c r="Q5" s="15"/>
      <c r="R5" s="15"/>
      <c r="S5" s="15"/>
    </row>
    <row r="6" spans="1:19" ht="12.75">
      <c r="A6" t="s">
        <v>3</v>
      </c>
      <c r="B6"/>
      <c r="C6"/>
      <c r="D6"/>
      <c r="E6">
        <v>0</v>
      </c>
      <c r="O6" s="15"/>
      <c r="P6" s="15"/>
      <c r="Q6" s="15"/>
      <c r="R6" s="15"/>
      <c r="S6" s="15"/>
    </row>
    <row r="7" spans="1:19" ht="12.75">
      <c r="A7" t="s">
        <v>4</v>
      </c>
      <c r="B7"/>
      <c r="C7"/>
      <c r="D7"/>
      <c r="E7">
        <v>0</v>
      </c>
      <c r="O7" s="15"/>
      <c r="P7" s="15"/>
      <c r="Q7" s="15"/>
      <c r="R7" s="15"/>
      <c r="S7" s="15"/>
    </row>
    <row r="8" spans="1:19" ht="12.75">
      <c r="A8" t="s">
        <v>5</v>
      </c>
      <c r="B8"/>
      <c r="C8"/>
      <c r="D8"/>
      <c r="E8">
        <v>0</v>
      </c>
      <c r="O8" s="15"/>
      <c r="P8" s="15"/>
      <c r="Q8" s="15"/>
      <c r="R8" s="15"/>
      <c r="S8" s="15"/>
    </row>
    <row r="9" spans="1:19" ht="12.75">
      <c r="A9" t="s">
        <v>6</v>
      </c>
      <c r="B9">
        <v>0.0001</v>
      </c>
      <c r="C9">
        <v>0</v>
      </c>
      <c r="D9">
        <v>0</v>
      </c>
      <c r="E9">
        <v>0</v>
      </c>
      <c r="O9" s="15"/>
      <c r="P9" s="15"/>
      <c r="Q9" s="15"/>
      <c r="R9" s="15"/>
      <c r="S9" s="15"/>
    </row>
    <row r="10" ht="11.25">
      <c r="Q10" s="15"/>
    </row>
    <row r="11" spans="1:17" ht="11.25">
      <c r="A11" s="440" t="s">
        <v>139</v>
      </c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8"/>
      <c r="Q11" s="45"/>
    </row>
    <row r="12" spans="1:19" ht="11.25">
      <c r="A12" s="22" t="s">
        <v>0</v>
      </c>
      <c r="B12" s="23"/>
      <c r="C12" s="23"/>
      <c r="D12" s="23"/>
      <c r="E12" s="23"/>
      <c r="F12" s="311"/>
      <c r="G12" s="311"/>
      <c r="H12" s="311"/>
      <c r="I12" s="311"/>
      <c r="J12" s="311"/>
      <c r="K12" s="311"/>
      <c r="L12" s="311"/>
      <c r="M12" s="311"/>
      <c r="N12" s="311"/>
      <c r="O12" s="312"/>
      <c r="P12" s="312"/>
      <c r="Q12" s="287"/>
      <c r="R12" s="287"/>
      <c r="S12" s="287"/>
    </row>
    <row r="13" spans="1:19" ht="11.25">
      <c r="A13" s="14" t="s">
        <v>1</v>
      </c>
      <c r="O13" s="15"/>
      <c r="P13" s="15"/>
      <c r="Q13" s="15"/>
      <c r="R13" s="15"/>
      <c r="S13" s="15"/>
    </row>
    <row r="14" spans="1:19" ht="11.25">
      <c r="A14" s="14" t="s">
        <v>2</v>
      </c>
      <c r="O14" s="15"/>
      <c r="P14" s="15"/>
      <c r="Q14" s="15"/>
      <c r="R14" s="15"/>
      <c r="S14" s="15"/>
    </row>
    <row r="15" spans="1:19" ht="11.25">
      <c r="A15" s="14" t="s">
        <v>3</v>
      </c>
      <c r="O15" s="15"/>
      <c r="P15" s="15"/>
      <c r="Q15" s="15"/>
      <c r="R15" s="15"/>
      <c r="S15" s="15"/>
    </row>
    <row r="16" spans="1:19" ht="11.25">
      <c r="A16" s="14" t="s">
        <v>4</v>
      </c>
      <c r="O16" s="15"/>
      <c r="P16" s="15"/>
      <c r="Q16" s="15"/>
      <c r="R16" s="15"/>
      <c r="S16" s="15"/>
    </row>
    <row r="17" spans="1:19" ht="11.25">
      <c r="A17" s="14" t="s">
        <v>5</v>
      </c>
      <c r="O17" s="15"/>
      <c r="P17" s="15"/>
      <c r="Q17" s="15"/>
      <c r="R17" s="15"/>
      <c r="S17" s="15"/>
    </row>
    <row r="18" spans="1:19" ht="11.25">
      <c r="A18" s="14" t="s">
        <v>6</v>
      </c>
      <c r="B18" s="14">
        <v>0.1</v>
      </c>
      <c r="O18" s="15"/>
      <c r="P18" s="15"/>
      <c r="Q18" s="15"/>
      <c r="R18" s="15"/>
      <c r="S18" s="15"/>
    </row>
  </sheetData>
  <mergeCells count="2">
    <mergeCell ref="A1:O1"/>
    <mergeCell ref="A11:O11"/>
  </mergeCells>
  <printOptions/>
  <pageMargins left="0.75" right="0.75" top="1" bottom="1" header="0.5" footer="0.5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C7" sqref="C7"/>
    </sheetView>
  </sheetViews>
  <sheetFormatPr defaultColWidth="9.140625" defaultRowHeight="12.75"/>
  <cols>
    <col min="1" max="1" width="27.28125" style="0" bestFit="1" customWidth="1"/>
  </cols>
  <sheetData>
    <row r="1" spans="1:3" ht="12.75">
      <c r="A1" s="442" t="s">
        <v>140</v>
      </c>
      <c r="B1" s="442"/>
      <c r="C1" s="442"/>
    </row>
    <row r="3" spans="1:2" ht="12.75">
      <c r="A3" s="2" t="s">
        <v>0</v>
      </c>
      <c r="B3" s="1">
        <v>38581</v>
      </c>
    </row>
    <row r="4" spans="1:2" ht="12.75">
      <c r="A4" t="s">
        <v>8</v>
      </c>
      <c r="B4">
        <v>0</v>
      </c>
    </row>
  </sheetData>
  <mergeCells count="1">
    <mergeCell ref="A1:C1"/>
  </mergeCells>
  <printOptions/>
  <pageMargins left="0.75" right="0.75" top="1" bottom="1" header="0.5" footer="0.5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G16" sqref="G16"/>
    </sheetView>
  </sheetViews>
  <sheetFormatPr defaultColWidth="9.140625" defaultRowHeight="12.75"/>
  <cols>
    <col min="1" max="1" width="34.421875" style="15" bestFit="1" customWidth="1"/>
    <col min="2" max="10" width="8.8515625" style="15" bestFit="1" customWidth="1"/>
    <col min="11" max="16384" width="9.140625" style="15" customWidth="1"/>
  </cols>
  <sheetData>
    <row r="1" spans="1:14" ht="11.25">
      <c r="A1" s="440" t="s">
        <v>141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5"/>
      <c r="M1" s="45"/>
      <c r="N1" s="45"/>
    </row>
    <row r="2" spans="1:14" ht="12.75">
      <c r="A2" s="2" t="s">
        <v>0</v>
      </c>
      <c r="B2" s="1">
        <v>38411</v>
      </c>
      <c r="C2" s="1">
        <v>38440</v>
      </c>
      <c r="D2" s="1">
        <v>38449</v>
      </c>
      <c r="E2" s="1">
        <v>38503</v>
      </c>
      <c r="F2" s="1">
        <v>38524</v>
      </c>
      <c r="G2" s="1">
        <v>38541</v>
      </c>
      <c r="H2" s="1">
        <v>38595</v>
      </c>
      <c r="I2" s="1">
        <v>38624</v>
      </c>
      <c r="J2" s="1">
        <v>38653</v>
      </c>
      <c r="K2" s="1">
        <v>38686</v>
      </c>
      <c r="L2" s="287"/>
      <c r="M2" s="287"/>
      <c r="N2" s="287"/>
    </row>
    <row r="3" spans="1:14" ht="12.75">
      <c r="A3" t="s">
        <v>1</v>
      </c>
      <c r="B3">
        <v>5</v>
      </c>
      <c r="C3">
        <v>7</v>
      </c>
      <c r="D3">
        <v>5</v>
      </c>
      <c r="E3">
        <v>4</v>
      </c>
      <c r="F3">
        <v>6</v>
      </c>
      <c r="G3">
        <v>7</v>
      </c>
      <c r="H3">
        <v>5</v>
      </c>
      <c r="I3">
        <v>8</v>
      </c>
      <c r="J3">
        <v>4</v>
      </c>
      <c r="K3">
        <v>5.5</v>
      </c>
      <c r="L3" s="313"/>
      <c r="M3" s="314"/>
      <c r="N3" s="313"/>
    </row>
    <row r="4" spans="1:14" ht="12.75">
      <c r="A4" t="s">
        <v>2</v>
      </c>
      <c r="B4">
        <v>4</v>
      </c>
      <c r="C4">
        <v>6</v>
      </c>
      <c r="D4">
        <v>5</v>
      </c>
      <c r="E4">
        <v>4</v>
      </c>
      <c r="F4">
        <v>6</v>
      </c>
      <c r="G4">
        <v>6</v>
      </c>
      <c r="H4">
        <v>4</v>
      </c>
      <c r="I4">
        <v>8</v>
      </c>
      <c r="J4">
        <v>2</v>
      </c>
      <c r="K4">
        <v>3</v>
      </c>
      <c r="L4" s="313"/>
      <c r="M4" s="313"/>
      <c r="N4" s="313"/>
    </row>
    <row r="5" spans="1:14" ht="12.75">
      <c r="A5" t="s">
        <v>3</v>
      </c>
      <c r="B5">
        <v>5</v>
      </c>
      <c r="C5">
        <v>6</v>
      </c>
      <c r="D5">
        <v>5</v>
      </c>
      <c r="E5">
        <v>5</v>
      </c>
      <c r="F5">
        <v>5</v>
      </c>
      <c r="G5">
        <v>8</v>
      </c>
      <c r="H5">
        <v>4</v>
      </c>
      <c r="I5">
        <v>8</v>
      </c>
      <c r="J5">
        <v>3</v>
      </c>
      <c r="K5">
        <v>4</v>
      </c>
      <c r="L5" s="313"/>
      <c r="M5" s="313"/>
      <c r="N5" s="313"/>
    </row>
    <row r="6" spans="1:14" ht="11.25">
      <c r="A6" s="15" t="s">
        <v>3</v>
      </c>
      <c r="B6" s="15">
        <v>4</v>
      </c>
      <c r="C6" s="15">
        <v>5</v>
      </c>
      <c r="D6" s="15">
        <v>5</v>
      </c>
      <c r="E6" s="15">
        <v>3</v>
      </c>
      <c r="F6" s="15">
        <v>4</v>
      </c>
      <c r="G6" s="15">
        <v>5</v>
      </c>
      <c r="H6" s="15">
        <v>4</v>
      </c>
      <c r="J6" s="15">
        <v>3.8</v>
      </c>
      <c r="K6" s="15">
        <v>5</v>
      </c>
      <c r="L6" s="313"/>
      <c r="M6" s="313"/>
      <c r="N6" s="313"/>
    </row>
    <row r="7" spans="1:14" ht="11.25">
      <c r="A7" s="15" t="s">
        <v>334</v>
      </c>
      <c r="L7" s="313"/>
      <c r="M7" s="313"/>
      <c r="N7" s="313"/>
    </row>
  </sheetData>
  <mergeCells count="1">
    <mergeCell ref="A1:K1"/>
  </mergeCells>
  <printOptions/>
  <pageMargins left="0.75" right="0.75" top="1" bottom="1" header="0.5" footer="0.5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J5" sqref="J5"/>
    </sheetView>
  </sheetViews>
  <sheetFormatPr defaultColWidth="9.140625" defaultRowHeight="12.75"/>
  <cols>
    <col min="1" max="1" width="27.57421875" style="15" bestFit="1" customWidth="1"/>
    <col min="2" max="3" width="7.00390625" style="15" bestFit="1" customWidth="1"/>
    <col min="4" max="4" width="6.421875" style="15" bestFit="1" customWidth="1"/>
    <col min="5" max="5" width="7.28125" style="15" bestFit="1" customWidth="1"/>
    <col min="6" max="6" width="6.8515625" style="15" bestFit="1" customWidth="1"/>
    <col min="7" max="8" width="6.28125" style="15" bestFit="1" customWidth="1"/>
    <col min="9" max="12" width="7.140625" style="15" bestFit="1" customWidth="1"/>
    <col min="13" max="13" width="6.57421875" style="15" bestFit="1" customWidth="1"/>
    <col min="14" max="14" width="7.00390625" style="15" bestFit="1" customWidth="1"/>
    <col min="15" max="15" width="6.140625" style="15" bestFit="1" customWidth="1"/>
    <col min="16" max="16" width="6.57421875" style="15" customWidth="1"/>
    <col min="17" max="16384" width="9.140625" style="15" customWidth="1"/>
  </cols>
  <sheetData>
    <row r="1" spans="1:16" ht="11.25">
      <c r="A1" s="440" t="s">
        <v>142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5"/>
      <c r="O1" s="45"/>
      <c r="P1" s="45"/>
    </row>
    <row r="2" spans="1:17" ht="22.5">
      <c r="A2" s="2" t="s">
        <v>0</v>
      </c>
      <c r="B2" s="30">
        <v>38411</v>
      </c>
      <c r="C2" s="30">
        <v>38440</v>
      </c>
      <c r="D2" s="30">
        <v>38449</v>
      </c>
      <c r="E2" s="30">
        <v>38503</v>
      </c>
      <c r="F2" s="30">
        <v>38524</v>
      </c>
      <c r="G2" s="30">
        <v>38541</v>
      </c>
      <c r="H2" s="30">
        <v>38554</v>
      </c>
      <c r="I2" s="30">
        <v>38581</v>
      </c>
      <c r="J2" s="30">
        <v>38595</v>
      </c>
      <c r="K2" s="30">
        <v>38610</v>
      </c>
      <c r="L2" s="30">
        <v>38624</v>
      </c>
      <c r="M2" s="30">
        <v>38653</v>
      </c>
      <c r="N2" s="30">
        <v>38686</v>
      </c>
      <c r="O2" s="30"/>
      <c r="P2" s="30"/>
      <c r="Q2" s="62" t="s">
        <v>345</v>
      </c>
    </row>
    <row r="3" spans="1:17" ht="12.75">
      <c r="A3" t="s">
        <v>3</v>
      </c>
      <c r="B3">
        <v>8</v>
      </c>
      <c r="C3">
        <v>12.7</v>
      </c>
      <c r="D3">
        <v>8.6</v>
      </c>
      <c r="E3">
        <v>2.6</v>
      </c>
      <c r="F3">
        <v>2.2</v>
      </c>
      <c r="G3">
        <v>2.6</v>
      </c>
      <c r="H3">
        <v>6.1</v>
      </c>
      <c r="I3">
        <v>7.2</v>
      </c>
      <c r="J3">
        <v>9</v>
      </c>
      <c r="K3">
        <v>9.3</v>
      </c>
      <c r="L3">
        <v>6.1</v>
      </c>
      <c r="M3">
        <v>8.9</v>
      </c>
      <c r="N3">
        <v>8.7</v>
      </c>
      <c r="Q3" s="36">
        <f>AVERAGE(B3:N3)</f>
        <v>7.076923076923078</v>
      </c>
    </row>
    <row r="4" ht="11.25">
      <c r="P4" s="15" t="s">
        <v>494</v>
      </c>
    </row>
    <row r="5" spans="9:15" ht="11.25">
      <c r="I5" s="15" t="s">
        <v>553</v>
      </c>
      <c r="J5" s="36">
        <f>AVERAGE(G3:K3)</f>
        <v>6.840000000000001</v>
      </c>
      <c r="O5" s="15" t="s">
        <v>105</v>
      </c>
    </row>
    <row r="6" spans="15:16" ht="11.25">
      <c r="O6" s="15" t="s">
        <v>106</v>
      </c>
      <c r="P6" s="15">
        <v>8</v>
      </c>
    </row>
    <row r="7" spans="15:16" ht="11.25">
      <c r="O7" s="15" t="s">
        <v>107</v>
      </c>
      <c r="P7" s="15">
        <v>12.7</v>
      </c>
    </row>
    <row r="8" spans="15:16" ht="11.25">
      <c r="O8" s="15" t="s">
        <v>108</v>
      </c>
      <c r="P8" s="15">
        <v>8.6</v>
      </c>
    </row>
    <row r="9" spans="15:16" ht="11.25">
      <c r="O9" s="15" t="s">
        <v>109</v>
      </c>
      <c r="P9" s="15">
        <v>2.6</v>
      </c>
    </row>
    <row r="10" spans="15:16" ht="11.25">
      <c r="O10" s="15" t="s">
        <v>110</v>
      </c>
      <c r="P10" s="15">
        <v>2.2</v>
      </c>
    </row>
    <row r="11" spans="15:16" ht="11.25">
      <c r="O11" s="15" t="s">
        <v>111</v>
      </c>
      <c r="P11" s="15">
        <f>AVERAGE(G3:H3)</f>
        <v>4.35</v>
      </c>
    </row>
    <row r="12" spans="15:16" ht="11.25">
      <c r="O12" s="15" t="s">
        <v>112</v>
      </c>
      <c r="P12" s="15">
        <f>AVERAGE(I3:J3)</f>
        <v>8.1</v>
      </c>
    </row>
    <row r="13" spans="15:16" ht="11.25">
      <c r="O13" s="15" t="s">
        <v>113</v>
      </c>
      <c r="P13" s="15">
        <f>AVERAGE(K3:L3)</f>
        <v>7.7</v>
      </c>
    </row>
    <row r="14" spans="15:16" ht="11.25">
      <c r="O14" s="15" t="s">
        <v>114</v>
      </c>
      <c r="P14" s="15">
        <v>8.9</v>
      </c>
    </row>
    <row r="15" spans="15:16" ht="11.25">
      <c r="O15" s="15" t="s">
        <v>115</v>
      </c>
      <c r="P15" s="15">
        <v>8.7</v>
      </c>
    </row>
    <row r="16" ht="11.25">
      <c r="O16" s="15" t="s">
        <v>116</v>
      </c>
    </row>
  </sheetData>
  <mergeCells count="1">
    <mergeCell ref="A1:M1"/>
  </mergeCells>
  <printOptions/>
  <pageMargins left="0.25" right="0.25" top="1" bottom="1" header="0.5" footer="0.5"/>
  <pageSetup orientation="landscape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E12" sqref="E12"/>
    </sheetView>
  </sheetViews>
  <sheetFormatPr defaultColWidth="9.140625" defaultRowHeight="12.75"/>
  <cols>
    <col min="1" max="1" width="34.7109375" style="0" bestFit="1" customWidth="1"/>
  </cols>
  <sheetData>
    <row r="1" spans="1:6" ht="12.75">
      <c r="A1" s="442" t="s">
        <v>321</v>
      </c>
      <c r="B1" s="442"/>
      <c r="C1" s="442"/>
      <c r="D1" s="442"/>
      <c r="E1" s="442"/>
      <c r="F1" s="442"/>
    </row>
    <row r="2" spans="1:6" ht="12.75">
      <c r="A2" s="2" t="s">
        <v>0</v>
      </c>
      <c r="B2" s="1">
        <v>38581</v>
      </c>
      <c r="C2" s="1"/>
      <c r="D2" s="1"/>
      <c r="E2" s="1"/>
      <c r="F2" s="1"/>
    </row>
    <row r="3" spans="1:2" ht="12.75">
      <c r="A3" t="s">
        <v>1</v>
      </c>
      <c r="B3">
        <v>0</v>
      </c>
    </row>
    <row r="4" spans="1:2" ht="12.75">
      <c r="A4" t="s">
        <v>2</v>
      </c>
      <c r="B4">
        <v>0</v>
      </c>
    </row>
    <row r="5" spans="1:2" ht="12.75">
      <c r="A5" t="s">
        <v>3</v>
      </c>
      <c r="B5">
        <v>0</v>
      </c>
    </row>
    <row r="6" spans="1:2" ht="12.75">
      <c r="A6" t="s">
        <v>4</v>
      </c>
      <c r="B6">
        <v>0</v>
      </c>
    </row>
    <row r="7" spans="1:2" ht="12.75">
      <c r="A7" t="s">
        <v>5</v>
      </c>
      <c r="B7">
        <v>0</v>
      </c>
    </row>
    <row r="8" spans="1:2" ht="12.75">
      <c r="A8" t="s">
        <v>6</v>
      </c>
      <c r="B8">
        <v>0</v>
      </c>
    </row>
  </sheetData>
  <mergeCells count="1">
    <mergeCell ref="A1:F1"/>
  </mergeCells>
  <printOptions/>
  <pageMargins left="0.75" right="0.75" top="1" bottom="1" header="0.5" footer="0.5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C6" sqref="C6"/>
    </sheetView>
  </sheetViews>
  <sheetFormatPr defaultColWidth="9.140625" defaultRowHeight="12.75"/>
  <cols>
    <col min="1" max="1" width="27.28125" style="0" bestFit="1" customWidth="1"/>
  </cols>
  <sheetData>
    <row r="1" spans="1:3" ht="12.75">
      <c r="A1" s="442" t="s">
        <v>322</v>
      </c>
      <c r="B1" s="442"/>
      <c r="C1" s="442"/>
    </row>
    <row r="2" spans="1:2" ht="12.75">
      <c r="A2" s="2" t="s">
        <v>0</v>
      </c>
      <c r="B2" s="1">
        <v>38581</v>
      </c>
    </row>
    <row r="3" spans="1:2" ht="12.75">
      <c r="A3" t="s">
        <v>8</v>
      </c>
      <c r="B3">
        <v>2.5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14"/>
  <sheetViews>
    <sheetView workbookViewId="0" topLeftCell="A1">
      <selection activeCell="P11" sqref="P11:P14"/>
    </sheetView>
  </sheetViews>
  <sheetFormatPr defaultColWidth="9.140625" defaultRowHeight="12.75"/>
  <cols>
    <col min="1" max="1" width="36.7109375" style="15" customWidth="1"/>
    <col min="2" max="2" width="5.00390625" style="15" bestFit="1" customWidth="1"/>
    <col min="3" max="3" width="4.57421875" style="15" bestFit="1" customWidth="1"/>
    <col min="4" max="5" width="5.00390625" style="15" bestFit="1" customWidth="1"/>
    <col min="6" max="6" width="4.140625" style="15" bestFit="1" customWidth="1"/>
    <col min="7" max="8" width="4.57421875" style="15" bestFit="1" customWidth="1"/>
    <col min="9" max="9" width="4.140625" style="15" bestFit="1" customWidth="1"/>
    <col min="10" max="10" width="4.57421875" style="15" bestFit="1" customWidth="1"/>
    <col min="11" max="11" width="4.140625" style="15" bestFit="1" customWidth="1"/>
    <col min="12" max="15" width="4.57421875" style="15" bestFit="1" customWidth="1"/>
    <col min="16" max="18" width="5.57421875" style="15" bestFit="1" customWidth="1"/>
    <col min="19" max="16384" width="9.140625" style="15" customWidth="1"/>
  </cols>
  <sheetData>
    <row r="1" spans="1:20" ht="11.25">
      <c r="A1" s="440" t="s">
        <v>323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5"/>
      <c r="T1" s="45"/>
    </row>
    <row r="2" spans="1:20" ht="12.75">
      <c r="A2" s="2" t="s">
        <v>0</v>
      </c>
      <c r="B2" s="315">
        <v>38378</v>
      </c>
      <c r="C2" s="315">
        <v>38411</v>
      </c>
      <c r="D2" s="315">
        <v>38420</v>
      </c>
      <c r="E2" s="315">
        <v>38440</v>
      </c>
      <c r="F2" s="315">
        <v>38449</v>
      </c>
      <c r="G2" s="315">
        <v>38503</v>
      </c>
      <c r="H2" s="315">
        <v>38524</v>
      </c>
      <c r="I2" s="315">
        <v>38541</v>
      </c>
      <c r="J2" s="315">
        <v>38554</v>
      </c>
      <c r="K2" s="315">
        <v>38568</v>
      </c>
      <c r="L2" s="315">
        <v>38581</v>
      </c>
      <c r="M2" s="315">
        <v>38595</v>
      </c>
      <c r="N2" s="315">
        <v>38610</v>
      </c>
      <c r="O2" s="315">
        <v>38624</v>
      </c>
      <c r="P2" s="315">
        <v>38653</v>
      </c>
      <c r="Q2" s="315">
        <v>38686</v>
      </c>
      <c r="R2" s="315">
        <v>38708</v>
      </c>
      <c r="S2" s="46"/>
      <c r="T2" s="20"/>
    </row>
    <row r="3" spans="1:19" ht="12.75">
      <c r="A3" t="s">
        <v>1</v>
      </c>
      <c r="B3"/>
      <c r="C3">
        <v>361</v>
      </c>
      <c r="D3"/>
      <c r="E3">
        <v>353</v>
      </c>
      <c r="F3">
        <v>3.51</v>
      </c>
      <c r="G3">
        <v>239</v>
      </c>
      <c r="H3">
        <v>200</v>
      </c>
      <c r="I3">
        <v>184</v>
      </c>
      <c r="J3">
        <v>222</v>
      </c>
      <c r="K3"/>
      <c r="L3">
        <v>223</v>
      </c>
      <c r="M3">
        <v>240</v>
      </c>
      <c r="N3">
        <v>247</v>
      </c>
      <c r="O3">
        <v>251</v>
      </c>
      <c r="P3">
        <v>289</v>
      </c>
      <c r="Q3">
        <v>305</v>
      </c>
      <c r="R3" t="s">
        <v>573</v>
      </c>
      <c r="S3" s="14"/>
    </row>
    <row r="4" spans="1:19" ht="12.75">
      <c r="A4" t="s">
        <v>2</v>
      </c>
      <c r="B4"/>
      <c r="C4"/>
      <c r="D4"/>
      <c r="E4">
        <v>355</v>
      </c>
      <c r="F4">
        <v>355</v>
      </c>
      <c r="G4">
        <v>235</v>
      </c>
      <c r="H4">
        <v>205</v>
      </c>
      <c r="I4">
        <v>191</v>
      </c>
      <c r="J4">
        <v>232</v>
      </c>
      <c r="K4"/>
      <c r="L4">
        <v>225</v>
      </c>
      <c r="M4">
        <v>242</v>
      </c>
      <c r="N4">
        <v>250</v>
      </c>
      <c r="O4">
        <v>252</v>
      </c>
      <c r="P4">
        <v>289</v>
      </c>
      <c r="Q4">
        <v>308</v>
      </c>
      <c r="R4" t="s">
        <v>573</v>
      </c>
      <c r="S4" s="14"/>
    </row>
    <row r="5" spans="1:19" ht="12.75">
      <c r="A5" t="s">
        <v>3</v>
      </c>
      <c r="B5"/>
      <c r="C5">
        <v>361</v>
      </c>
      <c r="D5"/>
      <c r="E5">
        <v>355</v>
      </c>
      <c r="F5">
        <v>355</v>
      </c>
      <c r="G5">
        <v>231</v>
      </c>
      <c r="H5">
        <v>205</v>
      </c>
      <c r="I5">
        <v>199</v>
      </c>
      <c r="J5">
        <v>231</v>
      </c>
      <c r="K5"/>
      <c r="L5">
        <v>224</v>
      </c>
      <c r="M5">
        <v>243</v>
      </c>
      <c r="N5">
        <v>250</v>
      </c>
      <c r="O5">
        <v>251</v>
      </c>
      <c r="P5">
        <v>289</v>
      </c>
      <c r="Q5">
        <v>307</v>
      </c>
      <c r="R5" t="s">
        <v>573</v>
      </c>
      <c r="S5" s="14"/>
    </row>
    <row r="6" spans="1:19" ht="12.75">
      <c r="A6" t="s">
        <v>542</v>
      </c>
      <c r="B6">
        <v>137</v>
      </c>
      <c r="C6"/>
      <c r="D6">
        <v>1200</v>
      </c>
      <c r="E6">
        <v>1430</v>
      </c>
      <c r="F6"/>
      <c r="G6"/>
      <c r="H6"/>
      <c r="I6">
        <v>138</v>
      </c>
      <c r="J6"/>
      <c r="K6">
        <v>309</v>
      </c>
      <c r="L6"/>
      <c r="M6"/>
      <c r="N6"/>
      <c r="O6"/>
      <c r="P6"/>
      <c r="Q6"/>
      <c r="R6"/>
      <c r="S6" s="14"/>
    </row>
    <row r="7" spans="1:19" ht="12.75">
      <c r="A7" t="s">
        <v>541</v>
      </c>
      <c r="B7"/>
      <c r="C7"/>
      <c r="D7">
        <v>1480</v>
      </c>
      <c r="E7">
        <v>1650</v>
      </c>
      <c r="F7"/>
      <c r="G7">
        <v>778</v>
      </c>
      <c r="H7"/>
      <c r="I7">
        <v>1.08</v>
      </c>
      <c r="J7"/>
      <c r="K7">
        <v>352</v>
      </c>
      <c r="L7"/>
      <c r="M7"/>
      <c r="N7"/>
      <c r="O7"/>
      <c r="P7"/>
      <c r="Q7"/>
      <c r="R7"/>
      <c r="S7" s="14"/>
    </row>
    <row r="8" spans="1:19" ht="12.75">
      <c r="A8" t="s">
        <v>4</v>
      </c>
      <c r="B8">
        <v>453</v>
      </c>
      <c r="C8">
        <v>379</v>
      </c>
      <c r="D8"/>
      <c r="E8">
        <v>359</v>
      </c>
      <c r="F8">
        <v>357</v>
      </c>
      <c r="G8">
        <v>242</v>
      </c>
      <c r="H8">
        <v>207</v>
      </c>
      <c r="I8">
        <v>189</v>
      </c>
      <c r="J8">
        <v>223</v>
      </c>
      <c r="K8"/>
      <c r="L8">
        <v>230</v>
      </c>
      <c r="M8">
        <v>245</v>
      </c>
      <c r="N8">
        <v>251</v>
      </c>
      <c r="O8">
        <v>253</v>
      </c>
      <c r="P8">
        <v>290</v>
      </c>
      <c r="Q8">
        <v>316</v>
      </c>
      <c r="R8">
        <v>353</v>
      </c>
      <c r="S8" s="14"/>
    </row>
    <row r="9" spans="1:19" ht="12.75">
      <c r="A9" t="s">
        <v>5</v>
      </c>
      <c r="B9">
        <v>471</v>
      </c>
      <c r="C9">
        <v>495</v>
      </c>
      <c r="D9"/>
      <c r="E9">
        <v>397</v>
      </c>
      <c r="F9">
        <v>288</v>
      </c>
      <c r="G9">
        <v>238</v>
      </c>
      <c r="H9">
        <v>307</v>
      </c>
      <c r="I9">
        <v>350</v>
      </c>
      <c r="J9" s="195" t="s">
        <v>556</v>
      </c>
      <c r="K9" s="195" t="s">
        <v>556</v>
      </c>
      <c r="L9">
        <v>373</v>
      </c>
      <c r="M9" s="195" t="s">
        <v>556</v>
      </c>
      <c r="N9">
        <v>509</v>
      </c>
      <c r="O9" s="195" t="s">
        <v>556</v>
      </c>
      <c r="P9">
        <v>472</v>
      </c>
      <c r="Q9">
        <v>494</v>
      </c>
      <c r="R9">
        <v>459</v>
      </c>
      <c r="S9" s="14"/>
    </row>
    <row r="10" spans="1:18" ht="12.75">
      <c r="A10" t="s">
        <v>6</v>
      </c>
      <c r="B10">
        <v>266</v>
      </c>
      <c r="C10">
        <v>287</v>
      </c>
      <c r="D10"/>
      <c r="E10">
        <v>288</v>
      </c>
      <c r="F10">
        <v>269</v>
      </c>
      <c r="G10">
        <v>156</v>
      </c>
      <c r="H10">
        <v>147</v>
      </c>
      <c r="I10">
        <v>181</v>
      </c>
      <c r="J10">
        <v>228</v>
      </c>
      <c r="K10"/>
      <c r="L10">
        <v>228</v>
      </c>
      <c r="M10">
        <v>275</v>
      </c>
      <c r="N10">
        <v>255</v>
      </c>
      <c r="O10">
        <v>456</v>
      </c>
      <c r="P10">
        <v>250</v>
      </c>
      <c r="Q10">
        <v>276</v>
      </c>
      <c r="R10">
        <v>260</v>
      </c>
    </row>
    <row r="11" spans="1:18" ht="12.75">
      <c r="A11" t="s">
        <v>549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>
        <v>159</v>
      </c>
      <c r="Q11"/>
      <c r="R11"/>
    </row>
    <row r="12" spans="1:18" ht="12.75">
      <c r="A12" t="s">
        <v>550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>
        <v>255</v>
      </c>
      <c r="Q12"/>
      <c r="R12"/>
    </row>
    <row r="13" spans="1:18" ht="12.75">
      <c r="A13" t="s">
        <v>551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>
        <v>186</v>
      </c>
      <c r="Q13"/>
      <c r="R13"/>
    </row>
    <row r="14" spans="1:18" ht="12.75">
      <c r="A14" t="s">
        <v>552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>
        <v>281</v>
      </c>
      <c r="Q14"/>
      <c r="R14"/>
    </row>
  </sheetData>
  <mergeCells count="1">
    <mergeCell ref="A1:R1"/>
  </mergeCells>
  <printOptions/>
  <pageMargins left="0.5" right="0.5" top="1" bottom="1" header="0.5" footer="0.5"/>
  <pageSetup orientation="landscape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O21" sqref="O21:O24"/>
    </sheetView>
  </sheetViews>
  <sheetFormatPr defaultColWidth="9.140625" defaultRowHeight="12.75"/>
  <cols>
    <col min="1" max="1" width="29.8515625" style="15" bestFit="1" customWidth="1"/>
    <col min="2" max="4" width="7.8515625" style="15" bestFit="1" customWidth="1"/>
    <col min="5" max="5" width="7.00390625" style="15" bestFit="1" customWidth="1"/>
    <col min="6" max="8" width="7.8515625" style="15" bestFit="1" customWidth="1"/>
    <col min="9" max="9" width="7.00390625" style="15" bestFit="1" customWidth="1"/>
    <col min="10" max="14" width="7.8515625" style="15" bestFit="1" customWidth="1"/>
    <col min="15" max="17" width="8.7109375" style="15" bestFit="1" customWidth="1"/>
    <col min="18" max="18" width="2.7109375" style="15" bestFit="1" customWidth="1"/>
    <col min="19" max="16384" width="9.140625" style="15" customWidth="1"/>
  </cols>
  <sheetData>
    <row r="1" spans="1:18" ht="11.25">
      <c r="A1" s="440" t="s">
        <v>324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5"/>
      <c r="Q1" s="45"/>
      <c r="R1" s="313"/>
    </row>
    <row r="2" spans="1:18" ht="11.25">
      <c r="A2" s="16" t="s">
        <v>0</v>
      </c>
      <c r="B2" s="20">
        <v>38378</v>
      </c>
      <c r="C2" s="20">
        <v>38411</v>
      </c>
      <c r="D2" s="20">
        <v>38440</v>
      </c>
      <c r="E2" s="20">
        <v>38449</v>
      </c>
      <c r="F2" s="20">
        <v>38471</v>
      </c>
      <c r="G2" s="20">
        <v>38503</v>
      </c>
      <c r="H2" s="20">
        <v>38524</v>
      </c>
      <c r="I2" s="20">
        <v>38541</v>
      </c>
      <c r="J2" s="20">
        <v>38554</v>
      </c>
      <c r="K2" s="20">
        <v>38581</v>
      </c>
      <c r="L2" s="20">
        <v>38595</v>
      </c>
      <c r="M2" s="20">
        <v>38610</v>
      </c>
      <c r="N2" s="20">
        <v>38624</v>
      </c>
      <c r="O2" s="20">
        <v>38653</v>
      </c>
      <c r="P2" s="20">
        <v>38686</v>
      </c>
      <c r="Q2" s="20">
        <v>38708</v>
      </c>
      <c r="R2" s="287"/>
    </row>
    <row r="3" spans="1:17" ht="11.25">
      <c r="A3" s="15" t="s">
        <v>1</v>
      </c>
      <c r="C3" s="15">
        <v>0.0024</v>
      </c>
      <c r="D3" s="15">
        <v>0.0021</v>
      </c>
      <c r="E3" s="15">
        <v>0.0012</v>
      </c>
      <c r="G3" s="15">
        <v>0.01</v>
      </c>
      <c r="H3" s="15">
        <v>0</v>
      </c>
      <c r="I3" s="15">
        <v>0.0073</v>
      </c>
      <c r="J3" s="15">
        <v>0</v>
      </c>
      <c r="K3" s="15">
        <v>0</v>
      </c>
      <c r="L3" s="15">
        <v>0</v>
      </c>
      <c r="M3" s="15">
        <v>0</v>
      </c>
      <c r="N3" s="15">
        <v>0.03</v>
      </c>
      <c r="O3" s="15">
        <v>0.0023</v>
      </c>
      <c r="P3" s="15">
        <v>0.005</v>
      </c>
      <c r="Q3" s="21" t="s">
        <v>555</v>
      </c>
    </row>
    <row r="4" spans="1:11" ht="11.25">
      <c r="A4" s="15" t="s">
        <v>2</v>
      </c>
      <c r="K4" s="15">
        <v>0</v>
      </c>
    </row>
    <row r="5" spans="1:11" ht="11.25">
      <c r="A5" s="15" t="s">
        <v>3</v>
      </c>
      <c r="K5" s="15">
        <v>0</v>
      </c>
    </row>
    <row r="6" spans="1:11" ht="11.25">
      <c r="A6" s="15" t="s">
        <v>4</v>
      </c>
      <c r="K6" s="15">
        <v>0</v>
      </c>
    </row>
    <row r="7" spans="1:11" ht="11.25">
      <c r="A7" s="15" t="s">
        <v>5</v>
      </c>
      <c r="K7" s="15">
        <v>0</v>
      </c>
    </row>
    <row r="8" spans="1:17" ht="11.25">
      <c r="A8" s="15" t="s">
        <v>6</v>
      </c>
      <c r="B8" s="15">
        <v>0.0017</v>
      </c>
      <c r="C8" s="15">
        <v>0.0015</v>
      </c>
      <c r="D8" s="15">
        <v>0.0012</v>
      </c>
      <c r="E8" s="15">
        <v>0.0017</v>
      </c>
      <c r="F8" s="15">
        <v>0.0014</v>
      </c>
      <c r="G8" s="15">
        <v>0</v>
      </c>
      <c r="H8" s="15">
        <v>0</v>
      </c>
      <c r="I8" s="15">
        <v>0.0009</v>
      </c>
      <c r="J8" s="15">
        <v>0</v>
      </c>
      <c r="K8" s="15">
        <v>0</v>
      </c>
      <c r="L8" s="15">
        <v>0</v>
      </c>
      <c r="M8" s="15">
        <v>0</v>
      </c>
      <c r="N8" s="15">
        <v>0.02</v>
      </c>
      <c r="O8" s="15">
        <v>0.0121</v>
      </c>
      <c r="P8" s="15">
        <v>0.0014</v>
      </c>
      <c r="Q8" s="15">
        <v>0.0092</v>
      </c>
    </row>
    <row r="9" spans="1:15" ht="11.25">
      <c r="A9" s="15" t="s">
        <v>549</v>
      </c>
      <c r="O9" s="15">
        <v>0.0011</v>
      </c>
    </row>
    <row r="10" spans="1:15" ht="11.25">
      <c r="A10" s="15" t="s">
        <v>550</v>
      </c>
      <c r="O10" s="15">
        <v>0.0085</v>
      </c>
    </row>
    <row r="11" spans="1:18" ht="11.25">
      <c r="A11" s="15" t="s">
        <v>551</v>
      </c>
      <c r="O11" s="15">
        <v>0.0027</v>
      </c>
      <c r="R11" s="287"/>
    </row>
    <row r="12" spans="1:15" ht="11.25">
      <c r="A12" s="15" t="s">
        <v>552</v>
      </c>
      <c r="O12" s="15">
        <v>0.0023</v>
      </c>
    </row>
    <row r="13" ht="11.25">
      <c r="L13" s="15">
        <v>0</v>
      </c>
    </row>
    <row r="14" spans="1:17" ht="11.25">
      <c r="A14" s="16" t="s">
        <v>0</v>
      </c>
      <c r="B14" s="20">
        <v>38378</v>
      </c>
      <c r="C14" s="20">
        <v>38411</v>
      </c>
      <c r="D14" s="20">
        <v>38440</v>
      </c>
      <c r="E14" s="20">
        <v>38449</v>
      </c>
      <c r="F14" s="20">
        <v>38471</v>
      </c>
      <c r="G14" s="20">
        <v>38503</v>
      </c>
      <c r="H14" s="20">
        <v>38524</v>
      </c>
      <c r="I14" s="20">
        <v>38541</v>
      </c>
      <c r="J14" s="20">
        <v>38554</v>
      </c>
      <c r="K14" s="20">
        <v>38581</v>
      </c>
      <c r="L14" s="20">
        <v>38595</v>
      </c>
      <c r="M14" s="20">
        <v>38610</v>
      </c>
      <c r="N14" s="20">
        <v>38624</v>
      </c>
      <c r="O14" s="20">
        <v>38653</v>
      </c>
      <c r="P14" s="20">
        <v>38686</v>
      </c>
      <c r="Q14" s="20">
        <v>38708</v>
      </c>
    </row>
    <row r="15" spans="1:18" ht="11.25">
      <c r="A15" s="15" t="s">
        <v>1</v>
      </c>
      <c r="C15" s="15">
        <v>2.4</v>
      </c>
      <c r="D15" s="15">
        <v>2.1</v>
      </c>
      <c r="E15" s="15">
        <v>1.2</v>
      </c>
      <c r="G15" s="15">
        <v>10</v>
      </c>
      <c r="H15" s="15">
        <v>0</v>
      </c>
      <c r="I15" s="15">
        <v>7.3</v>
      </c>
      <c r="J15" s="15">
        <v>0</v>
      </c>
      <c r="K15" s="15">
        <v>0</v>
      </c>
      <c r="L15" s="15">
        <v>0</v>
      </c>
      <c r="M15" s="15">
        <v>0</v>
      </c>
      <c r="N15" s="15">
        <v>30</v>
      </c>
      <c r="O15" s="15">
        <v>2.3</v>
      </c>
      <c r="P15" s="15">
        <v>5</v>
      </c>
      <c r="Q15" s="21"/>
      <c r="R15" s="15">
        <f aca="true" t="shared" si="0" ref="R15:R20">MAX(B15:Q15)</f>
        <v>30</v>
      </c>
    </row>
    <row r="16" spans="1:18" ht="11.25">
      <c r="A16" s="15" t="s">
        <v>2</v>
      </c>
      <c r="K16" s="15">
        <v>0</v>
      </c>
      <c r="R16" s="15">
        <f t="shared" si="0"/>
        <v>0</v>
      </c>
    </row>
    <row r="17" spans="1:18" ht="11.25">
      <c r="A17" s="15" t="s">
        <v>3</v>
      </c>
      <c r="K17" s="15">
        <v>0</v>
      </c>
      <c r="R17" s="15">
        <f t="shared" si="0"/>
        <v>0</v>
      </c>
    </row>
    <row r="18" spans="1:18" ht="11.25">
      <c r="A18" s="15" t="s">
        <v>4</v>
      </c>
      <c r="K18" s="15">
        <v>0</v>
      </c>
      <c r="R18" s="15">
        <f t="shared" si="0"/>
        <v>0</v>
      </c>
    </row>
    <row r="19" spans="1:18" ht="11.25">
      <c r="A19" s="15" t="s">
        <v>5</v>
      </c>
      <c r="K19" s="15">
        <v>0</v>
      </c>
      <c r="R19" s="15">
        <f t="shared" si="0"/>
        <v>0</v>
      </c>
    </row>
    <row r="20" spans="1:18" ht="11.25">
      <c r="A20" s="15" t="s">
        <v>6</v>
      </c>
      <c r="B20" s="15">
        <v>1.7</v>
      </c>
      <c r="C20" s="15">
        <v>1.5</v>
      </c>
      <c r="D20" s="15">
        <v>1.2</v>
      </c>
      <c r="E20" s="15">
        <v>1.7</v>
      </c>
      <c r="F20" s="15">
        <v>1.4</v>
      </c>
      <c r="G20" s="15">
        <v>0</v>
      </c>
      <c r="H20" s="15">
        <v>0</v>
      </c>
      <c r="I20" s="15">
        <v>0.9</v>
      </c>
      <c r="J20" s="15">
        <v>0</v>
      </c>
      <c r="K20" s="15">
        <v>0</v>
      </c>
      <c r="L20" s="15">
        <v>0</v>
      </c>
      <c r="M20" s="15">
        <v>0</v>
      </c>
      <c r="N20" s="15">
        <v>20</v>
      </c>
      <c r="O20" s="15">
        <v>12.1</v>
      </c>
      <c r="P20" s="15">
        <v>1.4</v>
      </c>
      <c r="Q20" s="15">
        <v>9.2</v>
      </c>
      <c r="R20" s="15">
        <f t="shared" si="0"/>
        <v>20</v>
      </c>
    </row>
    <row r="21" spans="1:15" ht="11.25">
      <c r="A21" s="15" t="s">
        <v>549</v>
      </c>
      <c r="O21" s="15">
        <v>1.1</v>
      </c>
    </row>
    <row r="22" spans="1:15" ht="11.25">
      <c r="A22" s="15" t="s">
        <v>550</v>
      </c>
      <c r="O22" s="15">
        <v>8.5</v>
      </c>
    </row>
    <row r="23" spans="1:15" ht="11.25">
      <c r="A23" s="15" t="s">
        <v>551</v>
      </c>
      <c r="O23" s="15">
        <v>2.7</v>
      </c>
    </row>
    <row r="24" spans="1:15" ht="11.25">
      <c r="A24" s="15" t="s">
        <v>552</v>
      </c>
      <c r="O24" s="15">
        <v>2.3</v>
      </c>
    </row>
  </sheetData>
  <mergeCells count="1">
    <mergeCell ref="A1:O1"/>
  </mergeCells>
  <printOptions/>
  <pageMargins left="0.75" right="0.75" top="1" bottom="1" header="0.5" footer="0.5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B2" sqref="B2:B3"/>
    </sheetView>
  </sheetViews>
  <sheetFormatPr defaultColWidth="9.140625" defaultRowHeight="12.75"/>
  <cols>
    <col min="1" max="1" width="27.28125" style="0" bestFit="1" customWidth="1"/>
  </cols>
  <sheetData>
    <row r="1" spans="1:3" ht="12.75">
      <c r="A1" s="442" t="s">
        <v>325</v>
      </c>
      <c r="B1" s="442"/>
      <c r="C1" s="442"/>
    </row>
    <row r="2" spans="1:2" ht="12.75">
      <c r="A2" s="2" t="s">
        <v>0</v>
      </c>
      <c r="B2" s="1">
        <v>38581</v>
      </c>
    </row>
    <row r="3" spans="1:2" ht="12.75">
      <c r="A3" t="s">
        <v>8</v>
      </c>
      <c r="B3">
        <v>3.6</v>
      </c>
    </row>
  </sheetData>
  <mergeCells count="1">
    <mergeCell ref="A1:C1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G26" sqref="G26"/>
    </sheetView>
  </sheetViews>
  <sheetFormatPr defaultColWidth="9.140625" defaultRowHeight="12.75"/>
  <cols>
    <col min="1" max="1" width="21.140625" style="15" bestFit="1" customWidth="1"/>
    <col min="2" max="2" width="7.57421875" style="15" bestFit="1" customWidth="1"/>
    <col min="3" max="3" width="7.7109375" style="15" bestFit="1" customWidth="1"/>
    <col min="4" max="4" width="6.7109375" style="15" bestFit="1" customWidth="1"/>
    <col min="5" max="5" width="7.7109375" style="15" bestFit="1" customWidth="1"/>
    <col min="6" max="6" width="6.7109375" style="15" bestFit="1" customWidth="1"/>
    <col min="7" max="7" width="7.7109375" style="15" bestFit="1" customWidth="1"/>
    <col min="8" max="8" width="14.7109375" style="15" bestFit="1" customWidth="1"/>
    <col min="9" max="9" width="4.421875" style="15" bestFit="1" customWidth="1"/>
    <col min="10" max="10" width="13.140625" style="15" bestFit="1" customWidth="1"/>
    <col min="11" max="16384" width="9.140625" style="15" customWidth="1"/>
  </cols>
  <sheetData>
    <row r="1" spans="2:10" ht="11.25">
      <c r="B1" s="416" t="s">
        <v>563</v>
      </c>
      <c r="C1" s="416"/>
      <c r="D1" s="416"/>
      <c r="E1" s="416"/>
      <c r="F1" s="416"/>
      <c r="G1" s="416"/>
      <c r="H1" s="416"/>
      <c r="I1" s="416"/>
      <c r="J1" s="416"/>
    </row>
    <row r="2" spans="2:10" ht="11.25">
      <c r="B2" s="414">
        <v>2003</v>
      </c>
      <c r="C2" s="415"/>
      <c r="D2" s="414">
        <v>2004</v>
      </c>
      <c r="E2" s="415"/>
      <c r="F2" s="414">
        <v>2005</v>
      </c>
      <c r="G2" s="415"/>
      <c r="H2" s="419" t="s">
        <v>558</v>
      </c>
      <c r="I2" s="419"/>
      <c r="J2" s="419"/>
    </row>
    <row r="3" spans="1:10" ht="29.25" customHeight="1">
      <c r="A3" s="411" t="s">
        <v>68</v>
      </c>
      <c r="B3" s="284" t="s">
        <v>561</v>
      </c>
      <c r="C3" s="284" t="s">
        <v>562</v>
      </c>
      <c r="D3" s="284" t="s">
        <v>561</v>
      </c>
      <c r="E3" s="284" t="s">
        <v>562</v>
      </c>
      <c r="F3" s="284" t="s">
        <v>561</v>
      </c>
      <c r="G3" s="284" t="s">
        <v>562</v>
      </c>
      <c r="H3" s="412" t="s">
        <v>69</v>
      </c>
      <c r="I3" s="412"/>
      <c r="J3" s="412"/>
    </row>
    <row r="4" spans="1:10" ht="11.25">
      <c r="A4" s="411"/>
      <c r="B4" s="297" t="s">
        <v>121</v>
      </c>
      <c r="C4" s="297" t="s">
        <v>121</v>
      </c>
      <c r="D4" s="297" t="s">
        <v>121</v>
      </c>
      <c r="E4" s="297" t="s">
        <v>121</v>
      </c>
      <c r="F4" s="297" t="s">
        <v>121</v>
      </c>
      <c r="G4" s="297" t="s">
        <v>121</v>
      </c>
      <c r="H4" s="297" t="s">
        <v>70</v>
      </c>
      <c r="I4" s="413" t="s">
        <v>71</v>
      </c>
      <c r="J4" s="413"/>
    </row>
    <row r="5" spans="1:13" ht="12">
      <c r="A5" s="348" t="s">
        <v>72</v>
      </c>
      <c r="B5" s="299">
        <v>0</v>
      </c>
      <c r="C5" s="299">
        <v>0</v>
      </c>
      <c r="D5" s="299">
        <v>0</v>
      </c>
      <c r="E5" s="299">
        <v>0</v>
      </c>
      <c r="F5" s="299">
        <v>0</v>
      </c>
      <c r="G5" s="299">
        <v>0</v>
      </c>
      <c r="H5" s="298" t="s">
        <v>73</v>
      </c>
      <c r="I5" s="300">
        <v>2.39</v>
      </c>
      <c r="J5" s="298" t="s">
        <v>74</v>
      </c>
      <c r="M5" s="112"/>
    </row>
    <row r="6" spans="1:10" ht="12">
      <c r="A6" s="348" t="s">
        <v>559</v>
      </c>
      <c r="B6" s="300">
        <v>0.79</v>
      </c>
      <c r="C6" s="300">
        <v>0.96</v>
      </c>
      <c r="D6" s="300">
        <v>0.4</v>
      </c>
      <c r="E6" s="300">
        <v>0.9</v>
      </c>
      <c r="F6" s="300">
        <v>0.5</v>
      </c>
      <c r="G6" s="300">
        <v>1.5</v>
      </c>
      <c r="H6" s="298" t="s">
        <v>75</v>
      </c>
      <c r="I6" s="300">
        <v>50</v>
      </c>
      <c r="J6" s="298"/>
    </row>
    <row r="7" spans="1:10" ht="12">
      <c r="A7" s="348" t="s">
        <v>76</v>
      </c>
      <c r="B7" s="300">
        <v>0.1</v>
      </c>
      <c r="C7" s="300">
        <v>0</v>
      </c>
      <c r="D7" s="300">
        <v>0.1</v>
      </c>
      <c r="E7" s="300">
        <v>0.1</v>
      </c>
      <c r="F7" s="300">
        <v>0.1</v>
      </c>
      <c r="G7" s="300">
        <v>0</v>
      </c>
      <c r="H7" s="298" t="s">
        <v>77</v>
      </c>
      <c r="I7" s="300">
        <v>4.96</v>
      </c>
      <c r="J7" s="298" t="s">
        <v>78</v>
      </c>
    </row>
    <row r="8" spans="1:10" ht="12">
      <c r="A8" s="348" t="s">
        <v>79</v>
      </c>
      <c r="B8" s="300">
        <v>0</v>
      </c>
      <c r="C8" s="300">
        <v>0</v>
      </c>
      <c r="D8" s="300">
        <v>0</v>
      </c>
      <c r="E8" s="300">
        <v>0</v>
      </c>
      <c r="F8" s="300">
        <v>0</v>
      </c>
      <c r="G8" s="300">
        <v>0</v>
      </c>
      <c r="H8" s="298" t="s">
        <v>80</v>
      </c>
      <c r="I8" s="300">
        <v>16</v>
      </c>
      <c r="J8" s="298"/>
    </row>
    <row r="9" spans="1:10" ht="12">
      <c r="A9" s="348" t="s">
        <v>81</v>
      </c>
      <c r="B9" s="300">
        <v>0</v>
      </c>
      <c r="C9" s="300">
        <v>0</v>
      </c>
      <c r="D9" s="301">
        <v>100</v>
      </c>
      <c r="E9" s="300">
        <v>10</v>
      </c>
      <c r="F9" s="301">
        <v>20</v>
      </c>
      <c r="G9" s="301">
        <v>30</v>
      </c>
      <c r="H9" s="298" t="s">
        <v>82</v>
      </c>
      <c r="I9" s="300">
        <v>15.3</v>
      </c>
      <c r="J9" s="298"/>
    </row>
    <row r="10" spans="1:10" ht="12">
      <c r="A10" s="348" t="s">
        <v>83</v>
      </c>
      <c r="B10" s="300">
        <v>0</v>
      </c>
      <c r="C10" s="300">
        <v>0</v>
      </c>
      <c r="D10" s="300">
        <v>0</v>
      </c>
      <c r="E10" s="300">
        <v>0</v>
      </c>
      <c r="F10" s="300">
        <v>2.2</v>
      </c>
      <c r="G10" s="300">
        <v>0</v>
      </c>
      <c r="H10" s="298" t="s">
        <v>84</v>
      </c>
      <c r="I10" s="300">
        <v>507</v>
      </c>
      <c r="J10" s="298"/>
    </row>
    <row r="11" spans="1:10" ht="12">
      <c r="A11" s="348" t="s">
        <v>85</v>
      </c>
      <c r="B11" s="300">
        <v>0</v>
      </c>
      <c r="C11" s="300">
        <v>0</v>
      </c>
      <c r="D11" s="300">
        <v>60</v>
      </c>
      <c r="E11" s="300">
        <v>80</v>
      </c>
      <c r="F11" s="300">
        <v>40</v>
      </c>
      <c r="G11" s="300">
        <v>30</v>
      </c>
      <c r="H11" s="298" t="s">
        <v>86</v>
      </c>
      <c r="I11" s="300">
        <v>300</v>
      </c>
      <c r="J11" s="298" t="s">
        <v>87</v>
      </c>
    </row>
    <row r="12" spans="1:10" ht="12">
      <c r="A12" s="348" t="s">
        <v>88</v>
      </c>
      <c r="B12" s="302">
        <v>1540</v>
      </c>
      <c r="C12" s="300">
        <v>350</v>
      </c>
      <c r="D12" s="302">
        <v>1480</v>
      </c>
      <c r="E12" s="300">
        <v>810</v>
      </c>
      <c r="F12" s="300">
        <v>830</v>
      </c>
      <c r="G12" s="300">
        <v>500</v>
      </c>
      <c r="H12" s="298" t="s">
        <v>89</v>
      </c>
      <c r="I12" s="300">
        <v>1000</v>
      </c>
      <c r="J12" s="298"/>
    </row>
    <row r="13" spans="1:10" ht="12">
      <c r="A13" s="348" t="s">
        <v>90</v>
      </c>
      <c r="B13" s="300">
        <v>0</v>
      </c>
      <c r="C13" s="300">
        <v>0</v>
      </c>
      <c r="D13" s="301">
        <v>31.7</v>
      </c>
      <c r="E13" s="300">
        <v>0.9</v>
      </c>
      <c r="F13" s="301">
        <v>12.3</v>
      </c>
      <c r="G13" s="301">
        <v>7.1</v>
      </c>
      <c r="H13" s="298" t="s">
        <v>91</v>
      </c>
      <c r="I13" s="300">
        <v>1.4</v>
      </c>
      <c r="J13" s="298" t="s">
        <v>92</v>
      </c>
    </row>
    <row r="14" spans="1:10" ht="12">
      <c r="A14" s="348" t="s">
        <v>93</v>
      </c>
      <c r="B14" s="300">
        <v>0</v>
      </c>
      <c r="C14" s="299">
        <v>5</v>
      </c>
      <c r="D14" s="299">
        <v>21</v>
      </c>
      <c r="E14" s="301">
        <v>293</v>
      </c>
      <c r="F14" s="303">
        <v>19</v>
      </c>
      <c r="G14" s="301">
        <v>74</v>
      </c>
      <c r="H14" s="298" t="s">
        <v>94</v>
      </c>
      <c r="I14" s="300">
        <v>50</v>
      </c>
      <c r="J14" s="298"/>
    </row>
    <row r="15" spans="1:10" ht="12">
      <c r="A15" s="348" t="s">
        <v>95</v>
      </c>
      <c r="B15" s="300">
        <v>0.1</v>
      </c>
      <c r="C15" s="300">
        <v>0</v>
      </c>
      <c r="D15" s="300">
        <v>1.9</v>
      </c>
      <c r="E15" s="300">
        <v>2</v>
      </c>
      <c r="F15" s="300">
        <v>0</v>
      </c>
      <c r="G15" s="300">
        <v>0</v>
      </c>
      <c r="H15" s="298" t="s">
        <v>96</v>
      </c>
      <c r="I15" s="300">
        <v>75</v>
      </c>
      <c r="J15" s="298"/>
    </row>
    <row r="16" spans="1:10" ht="12">
      <c r="A16" s="348" t="s">
        <v>97</v>
      </c>
      <c r="B16" s="300">
        <v>0</v>
      </c>
      <c r="C16" s="300">
        <v>0</v>
      </c>
      <c r="D16" s="300">
        <v>0</v>
      </c>
      <c r="E16" s="300">
        <v>0</v>
      </c>
      <c r="F16" s="300">
        <v>0</v>
      </c>
      <c r="G16" s="300">
        <v>0</v>
      </c>
      <c r="H16" s="298" t="s">
        <v>98</v>
      </c>
      <c r="I16" s="300">
        <v>18.4</v>
      </c>
      <c r="J16" s="298" t="s">
        <v>92</v>
      </c>
    </row>
    <row r="17" spans="1:10" ht="12">
      <c r="A17" s="348" t="s">
        <v>99</v>
      </c>
      <c r="B17" s="300">
        <v>20</v>
      </c>
      <c r="C17" s="300">
        <v>10</v>
      </c>
      <c r="D17" s="300">
        <v>10</v>
      </c>
      <c r="E17" s="300">
        <v>20</v>
      </c>
      <c r="F17" s="303">
        <v>40</v>
      </c>
      <c r="G17" s="301">
        <v>230</v>
      </c>
      <c r="H17" s="298" t="s">
        <v>100</v>
      </c>
      <c r="I17" s="300">
        <v>132</v>
      </c>
      <c r="J17" s="298"/>
    </row>
    <row r="18" spans="1:10" ht="11.25">
      <c r="A18" s="304"/>
      <c r="B18" s="304"/>
      <c r="C18" s="304"/>
      <c r="D18" s="304"/>
      <c r="E18" s="304"/>
      <c r="F18" s="304"/>
      <c r="G18" s="304"/>
      <c r="H18" s="418" t="s">
        <v>582</v>
      </c>
      <c r="I18" s="418"/>
      <c r="J18" s="418"/>
    </row>
    <row r="19" spans="8:10" ht="11.25">
      <c r="H19" s="417" t="s">
        <v>560</v>
      </c>
      <c r="I19" s="417"/>
      <c r="J19" s="417"/>
    </row>
    <row r="20" spans="2:4" ht="11.25">
      <c r="B20" s="410" t="s">
        <v>592</v>
      </c>
      <c r="C20" s="410"/>
      <c r="D20" s="410"/>
    </row>
    <row r="21" spans="2:4" ht="11.25">
      <c r="B21" s="371"/>
      <c r="C21" s="371" t="s">
        <v>574</v>
      </c>
      <c r="D21" s="371" t="s">
        <v>415</v>
      </c>
    </row>
    <row r="22" spans="2:3" ht="11.25">
      <c r="B22" s="372">
        <v>38353</v>
      </c>
      <c r="C22" s="15">
        <v>0</v>
      </c>
    </row>
    <row r="23" spans="2:4" ht="11.25">
      <c r="B23" s="372">
        <v>38384</v>
      </c>
      <c r="C23" s="15">
        <v>0</v>
      </c>
      <c r="D23" s="15">
        <v>0</v>
      </c>
    </row>
    <row r="24" spans="2:4" ht="11.25">
      <c r="B24" s="372">
        <v>38412</v>
      </c>
      <c r="C24" s="15">
        <v>0.2</v>
      </c>
      <c r="D24" s="15">
        <v>0.2</v>
      </c>
    </row>
    <row r="25" spans="2:4" ht="11.25">
      <c r="B25" s="372">
        <v>38443</v>
      </c>
      <c r="C25" s="15">
        <v>0</v>
      </c>
      <c r="D25" s="15">
        <v>0.3</v>
      </c>
    </row>
    <row r="26" spans="2:4" ht="11.25">
      <c r="B26" s="372">
        <v>38473</v>
      </c>
      <c r="C26" s="15">
        <v>0</v>
      </c>
      <c r="D26" s="15">
        <v>0.2</v>
      </c>
    </row>
    <row r="27" spans="2:4" ht="11.25">
      <c r="B27" s="372">
        <v>38504</v>
      </c>
      <c r="C27" s="15">
        <v>0</v>
      </c>
      <c r="D27" s="15">
        <v>0</v>
      </c>
    </row>
    <row r="28" spans="2:4" ht="11.25">
      <c r="B28" s="372">
        <v>38534</v>
      </c>
      <c r="C28" s="15">
        <v>0</v>
      </c>
      <c r="D28" s="15">
        <v>0.2</v>
      </c>
    </row>
    <row r="29" spans="2:4" ht="11.25">
      <c r="B29" s="372">
        <v>38565</v>
      </c>
      <c r="C29" s="15">
        <v>12.3</v>
      </c>
      <c r="D29" s="15">
        <v>7.1</v>
      </c>
    </row>
    <row r="30" spans="2:4" ht="11.25">
      <c r="B30" s="372">
        <v>38596</v>
      </c>
      <c r="C30" s="15">
        <v>1</v>
      </c>
      <c r="D30" s="15">
        <v>0.6</v>
      </c>
    </row>
    <row r="31" spans="2:4" ht="11.25">
      <c r="B31" s="372">
        <v>38626</v>
      </c>
      <c r="C31" s="15">
        <v>0.8</v>
      </c>
      <c r="D31" s="15">
        <v>0</v>
      </c>
    </row>
    <row r="32" spans="2:4" ht="11.25">
      <c r="B32" s="372">
        <v>38657</v>
      </c>
      <c r="C32" s="15">
        <v>0</v>
      </c>
      <c r="D32" s="15">
        <v>0</v>
      </c>
    </row>
    <row r="33" spans="2:3" ht="11.25">
      <c r="B33" s="372">
        <v>38687</v>
      </c>
      <c r="C33" s="15">
        <v>0</v>
      </c>
    </row>
    <row r="34" spans="2:4" ht="11.25">
      <c r="B34" s="373" t="s">
        <v>436</v>
      </c>
      <c r="C34" s="371">
        <v>12</v>
      </c>
      <c r="D34" s="371">
        <v>10</v>
      </c>
    </row>
  </sheetData>
  <mergeCells count="11">
    <mergeCell ref="F2:G2"/>
    <mergeCell ref="B1:J1"/>
    <mergeCell ref="H19:J19"/>
    <mergeCell ref="H18:J18"/>
    <mergeCell ref="H2:J2"/>
    <mergeCell ref="B2:C2"/>
    <mergeCell ref="D2:E2"/>
    <mergeCell ref="B20:D20"/>
    <mergeCell ref="A3:A4"/>
    <mergeCell ref="H3:J3"/>
    <mergeCell ref="I4:J4"/>
  </mergeCells>
  <printOptions/>
  <pageMargins left="0.51" right="0.46" top="1" bottom="1" header="0.5" footer="0.5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D1" sqref="D1"/>
    </sheetView>
  </sheetViews>
  <sheetFormatPr defaultColWidth="9.140625" defaultRowHeight="12.75"/>
  <cols>
    <col min="1" max="1" width="34.7109375" style="0" bestFit="1" customWidth="1"/>
  </cols>
  <sheetData>
    <row r="1" spans="1:3" ht="12.75">
      <c r="A1" s="442" t="s">
        <v>326</v>
      </c>
      <c r="B1" s="442"/>
      <c r="C1" s="442"/>
    </row>
    <row r="2" spans="1:5" ht="12.75">
      <c r="A2" s="2" t="s">
        <v>0</v>
      </c>
      <c r="B2" s="1">
        <v>38411</v>
      </c>
      <c r="C2" s="1">
        <v>38503</v>
      </c>
      <c r="D2" s="1">
        <v>38686</v>
      </c>
      <c r="E2" s="1">
        <v>38708</v>
      </c>
    </row>
    <row r="3" spans="1:5" ht="12.75">
      <c r="A3" t="s">
        <v>1</v>
      </c>
      <c r="B3">
        <v>0</v>
      </c>
      <c r="C3">
        <v>0</v>
      </c>
      <c r="D3">
        <v>0</v>
      </c>
      <c r="E3">
        <v>0</v>
      </c>
    </row>
    <row r="4" spans="1:5" ht="12.75">
      <c r="A4" t="s">
        <v>2</v>
      </c>
      <c r="B4">
        <v>0</v>
      </c>
      <c r="C4">
        <v>0</v>
      </c>
      <c r="D4">
        <v>0</v>
      </c>
      <c r="E4">
        <v>0</v>
      </c>
    </row>
    <row r="5" spans="1:5" ht="12.75">
      <c r="A5" t="s">
        <v>3</v>
      </c>
      <c r="B5">
        <v>0</v>
      </c>
      <c r="C5">
        <v>0</v>
      </c>
      <c r="D5">
        <v>0</v>
      </c>
      <c r="E5">
        <v>0</v>
      </c>
    </row>
    <row r="6" spans="1:5" ht="12.75">
      <c r="A6" t="s">
        <v>4</v>
      </c>
      <c r="B6">
        <v>0</v>
      </c>
      <c r="C6">
        <v>0</v>
      </c>
      <c r="D6">
        <v>0</v>
      </c>
      <c r="E6">
        <v>0</v>
      </c>
    </row>
    <row r="7" spans="1:5" ht="12.75">
      <c r="A7" t="s">
        <v>5</v>
      </c>
      <c r="B7">
        <v>0</v>
      </c>
      <c r="C7">
        <v>0</v>
      </c>
      <c r="D7">
        <v>0</v>
      </c>
      <c r="E7">
        <v>0</v>
      </c>
    </row>
    <row r="8" spans="1:5" ht="12.75">
      <c r="A8" t="s">
        <v>6</v>
      </c>
      <c r="B8">
        <v>0</v>
      </c>
      <c r="C8">
        <v>0</v>
      </c>
      <c r="D8">
        <v>0</v>
      </c>
      <c r="E8">
        <v>0</v>
      </c>
    </row>
  </sheetData>
  <mergeCells count="1">
    <mergeCell ref="A1:C1"/>
  </mergeCells>
  <printOptions/>
  <pageMargins left="0.75" right="0.75" top="1" bottom="1" header="0.5" footer="0.5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K10" sqref="K10"/>
    </sheetView>
  </sheetViews>
  <sheetFormatPr defaultColWidth="9.140625" defaultRowHeight="12.75"/>
  <cols>
    <col min="1" max="1" width="35.7109375" style="15" bestFit="1" customWidth="1"/>
    <col min="2" max="4" width="7.140625" style="15" bestFit="1" customWidth="1"/>
    <col min="5" max="5" width="6.140625" style="15" bestFit="1" customWidth="1"/>
    <col min="6" max="7" width="7.140625" style="15" bestFit="1" customWidth="1"/>
    <col min="8" max="8" width="6.140625" style="15" bestFit="1" customWidth="1"/>
    <col min="9" max="13" width="7.140625" style="15" bestFit="1" customWidth="1"/>
    <col min="14" max="16" width="9.28125" style="15" bestFit="1" customWidth="1"/>
    <col min="17" max="16384" width="9.140625" style="15" customWidth="1"/>
  </cols>
  <sheetData>
    <row r="1" spans="1:16" ht="11.25">
      <c r="A1" s="440" t="s">
        <v>327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5"/>
      <c r="O1" s="45"/>
      <c r="P1" s="45"/>
    </row>
    <row r="2" spans="1:16" ht="12.75">
      <c r="A2" s="2" t="s">
        <v>0</v>
      </c>
      <c r="B2" s="316">
        <v>38378</v>
      </c>
      <c r="C2" s="316">
        <v>38411</v>
      </c>
      <c r="D2" s="316">
        <v>38440</v>
      </c>
      <c r="E2" s="316">
        <v>38449</v>
      </c>
      <c r="F2" s="316">
        <v>38503</v>
      </c>
      <c r="G2" s="316">
        <v>38524</v>
      </c>
      <c r="H2" s="316">
        <v>38541</v>
      </c>
      <c r="I2" s="316">
        <v>38554</v>
      </c>
      <c r="J2" s="316">
        <v>38581</v>
      </c>
      <c r="K2" s="316">
        <v>38595</v>
      </c>
      <c r="L2" s="316">
        <v>38610</v>
      </c>
      <c r="M2" s="316">
        <v>38624</v>
      </c>
      <c r="N2" s="316">
        <v>38653</v>
      </c>
      <c r="O2" s="316">
        <v>38686</v>
      </c>
      <c r="P2" s="316">
        <v>38708</v>
      </c>
    </row>
    <row r="3" spans="1:16" ht="12.75">
      <c r="A3" t="s">
        <v>1</v>
      </c>
      <c r="B3"/>
      <c r="C3">
        <v>0</v>
      </c>
      <c r="D3">
        <v>0</v>
      </c>
      <c r="E3">
        <v>0</v>
      </c>
      <c r="F3">
        <v>0</v>
      </c>
      <c r="G3">
        <v>0</v>
      </c>
      <c r="H3">
        <v>80</v>
      </c>
      <c r="I3">
        <v>0</v>
      </c>
      <c r="J3">
        <v>2</v>
      </c>
      <c r="K3">
        <v>0</v>
      </c>
      <c r="L3">
        <v>0</v>
      </c>
      <c r="M3">
        <v>0</v>
      </c>
      <c r="N3">
        <v>0</v>
      </c>
      <c r="O3">
        <v>0</v>
      </c>
      <c r="P3" t="s">
        <v>555</v>
      </c>
    </row>
    <row r="4" spans="1:16" ht="12.75">
      <c r="A4" t="s">
        <v>2</v>
      </c>
      <c r="B4"/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2</v>
      </c>
      <c r="O4">
        <v>0</v>
      </c>
      <c r="P4" t="s">
        <v>555</v>
      </c>
    </row>
    <row r="5" spans="1:16" ht="12.75">
      <c r="A5" t="s">
        <v>3</v>
      </c>
      <c r="B5"/>
      <c r="C5">
        <v>0</v>
      </c>
      <c r="D5">
        <v>0</v>
      </c>
      <c r="E5">
        <v>0</v>
      </c>
      <c r="F5">
        <v>0</v>
      </c>
      <c r="G5">
        <v>4</v>
      </c>
      <c r="H5">
        <v>2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 t="s">
        <v>555</v>
      </c>
    </row>
    <row r="6" spans="1:16" ht="12.75">
      <c r="A6" t="s">
        <v>4</v>
      </c>
      <c r="B6">
        <v>0</v>
      </c>
      <c r="C6">
        <v>0</v>
      </c>
      <c r="D6">
        <v>0</v>
      </c>
      <c r="E6">
        <v>0</v>
      </c>
      <c r="F6">
        <v>2</v>
      </c>
      <c r="G6">
        <v>23</v>
      </c>
      <c r="H6">
        <v>300</v>
      </c>
      <c r="I6">
        <v>0</v>
      </c>
      <c r="J6">
        <v>0</v>
      </c>
      <c r="K6">
        <v>4</v>
      </c>
      <c r="L6">
        <v>2</v>
      </c>
      <c r="M6">
        <v>0</v>
      </c>
      <c r="N6">
        <v>2</v>
      </c>
      <c r="O6">
        <v>4</v>
      </c>
      <c r="P6">
        <v>4</v>
      </c>
    </row>
    <row r="7" spans="1:16" ht="12.75">
      <c r="A7" t="s">
        <v>5</v>
      </c>
      <c r="B7">
        <v>4</v>
      </c>
      <c r="C7">
        <v>2</v>
      </c>
      <c r="D7">
        <v>2</v>
      </c>
      <c r="E7">
        <v>2</v>
      </c>
      <c r="F7">
        <v>30</v>
      </c>
      <c r="G7">
        <v>70</v>
      </c>
      <c r="H7">
        <v>80</v>
      </c>
      <c r="I7" s="195" t="s">
        <v>556</v>
      </c>
      <c r="J7">
        <v>80</v>
      </c>
      <c r="K7" s="195" t="s">
        <v>556</v>
      </c>
      <c r="L7">
        <v>130</v>
      </c>
      <c r="M7" s="195" t="s">
        <v>556</v>
      </c>
      <c r="N7">
        <v>13</v>
      </c>
      <c r="O7">
        <v>23</v>
      </c>
      <c r="P7">
        <v>8</v>
      </c>
    </row>
    <row r="8" spans="1:16" ht="12.75">
      <c r="A8" t="s">
        <v>6</v>
      </c>
      <c r="B8">
        <v>2</v>
      </c>
      <c r="C8">
        <v>8</v>
      </c>
      <c r="D8">
        <v>4</v>
      </c>
      <c r="E8">
        <v>23</v>
      </c>
      <c r="F8">
        <v>8</v>
      </c>
      <c r="G8">
        <v>23</v>
      </c>
      <c r="H8">
        <v>23</v>
      </c>
      <c r="I8">
        <v>4</v>
      </c>
      <c r="J8">
        <v>13</v>
      </c>
      <c r="K8">
        <v>13</v>
      </c>
      <c r="L8">
        <v>8</v>
      </c>
      <c r="M8">
        <v>23</v>
      </c>
      <c r="N8">
        <v>8</v>
      </c>
      <c r="O8">
        <v>15</v>
      </c>
      <c r="P8">
        <v>2</v>
      </c>
    </row>
  </sheetData>
  <mergeCells count="1">
    <mergeCell ref="A1:M1"/>
  </mergeCells>
  <printOptions/>
  <pageMargins left="0.75" right="0.75" top="1" bottom="1" header="0.5" footer="0.5"/>
  <pageSetup orientation="landscape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B23" sqref="B23"/>
    </sheetView>
  </sheetViews>
  <sheetFormatPr defaultColWidth="9.140625" defaultRowHeight="12.75"/>
  <cols>
    <col min="1" max="1" width="29.8515625" style="15" bestFit="1" customWidth="1"/>
    <col min="2" max="10" width="7.8515625" style="15" bestFit="1" customWidth="1"/>
    <col min="11" max="11" width="9.140625" style="15" customWidth="1"/>
    <col min="12" max="12" width="10.140625" style="15" bestFit="1" customWidth="1"/>
    <col min="13" max="16384" width="9.140625" style="15" customWidth="1"/>
  </cols>
  <sheetData>
    <row r="1" spans="1:14" ht="11.25">
      <c r="A1" s="440" t="s">
        <v>328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5"/>
      <c r="M1" s="45"/>
      <c r="N1" s="45"/>
    </row>
    <row r="2" spans="1:16" ht="12.75">
      <c r="A2" s="16" t="s">
        <v>0</v>
      </c>
      <c r="B2" s="1">
        <v>38378</v>
      </c>
      <c r="C2" s="1">
        <v>38411</v>
      </c>
      <c r="D2" s="1">
        <v>38440</v>
      </c>
      <c r="E2" s="1">
        <v>38449</v>
      </c>
      <c r="F2" s="1">
        <v>38471</v>
      </c>
      <c r="G2" s="1">
        <v>38503</v>
      </c>
      <c r="H2" s="1">
        <v>38524</v>
      </c>
      <c r="I2" s="1">
        <v>38541</v>
      </c>
      <c r="J2" s="1">
        <v>38581</v>
      </c>
      <c r="K2" s="1">
        <v>38595</v>
      </c>
      <c r="L2" s="1">
        <v>38624</v>
      </c>
      <c r="M2" s="1">
        <v>38653</v>
      </c>
      <c r="N2" s="1">
        <v>38686</v>
      </c>
      <c r="O2" s="1">
        <v>38708</v>
      </c>
      <c r="P2" s="317" t="s">
        <v>564</v>
      </c>
    </row>
    <row r="3" spans="1:16" ht="12.75">
      <c r="A3" s="15" t="s">
        <v>1</v>
      </c>
      <c r="B3"/>
      <c r="C3">
        <v>146</v>
      </c>
      <c r="D3">
        <v>148</v>
      </c>
      <c r="E3">
        <v>148</v>
      </c>
      <c r="F3"/>
      <c r="G3">
        <v>104</v>
      </c>
      <c r="H3">
        <v>92</v>
      </c>
      <c r="I3">
        <v>82</v>
      </c>
      <c r="J3">
        <v>104</v>
      </c>
      <c r="K3">
        <v>110</v>
      </c>
      <c r="L3">
        <v>110</v>
      </c>
      <c r="M3">
        <v>114</v>
      </c>
      <c r="N3">
        <v>124</v>
      </c>
      <c r="O3"/>
      <c r="P3" s="318">
        <f aca="true" t="shared" si="0" ref="P3:P9">AVERAGE(B3:O3)</f>
        <v>116.54545454545455</v>
      </c>
    </row>
    <row r="4" spans="1:16" ht="12.75">
      <c r="A4" s="15" t="s">
        <v>2</v>
      </c>
      <c r="B4"/>
      <c r="C4">
        <v>148</v>
      </c>
      <c r="D4">
        <v>146</v>
      </c>
      <c r="E4">
        <v>146</v>
      </c>
      <c r="F4"/>
      <c r="G4">
        <v>94</v>
      </c>
      <c r="H4">
        <v>88</v>
      </c>
      <c r="I4">
        <v>90</v>
      </c>
      <c r="J4">
        <v>104</v>
      </c>
      <c r="K4">
        <v>120</v>
      </c>
      <c r="L4">
        <v>108</v>
      </c>
      <c r="M4">
        <v>116</v>
      </c>
      <c r="N4">
        <v>130</v>
      </c>
      <c r="O4"/>
      <c r="P4" s="318">
        <f t="shared" si="0"/>
        <v>117.27272727272727</v>
      </c>
    </row>
    <row r="5" spans="1:16" ht="12.75">
      <c r="A5" s="15" t="s">
        <v>3</v>
      </c>
      <c r="B5"/>
      <c r="C5">
        <v>152</v>
      </c>
      <c r="D5">
        <v>148</v>
      </c>
      <c r="E5">
        <v>148</v>
      </c>
      <c r="F5"/>
      <c r="G5">
        <v>98</v>
      </c>
      <c r="H5">
        <v>88</v>
      </c>
      <c r="I5">
        <v>100</v>
      </c>
      <c r="J5">
        <v>104</v>
      </c>
      <c r="K5">
        <v>110</v>
      </c>
      <c r="L5">
        <v>110</v>
      </c>
      <c r="M5">
        <v>116</v>
      </c>
      <c r="N5">
        <v>122</v>
      </c>
      <c r="O5"/>
      <c r="P5" s="318">
        <f t="shared" si="0"/>
        <v>117.81818181818181</v>
      </c>
    </row>
    <row r="6" spans="1:16" ht="12.75">
      <c r="A6" s="15" t="s">
        <v>7</v>
      </c>
      <c r="B6">
        <v>492</v>
      </c>
      <c r="C6"/>
      <c r="D6">
        <v>150</v>
      </c>
      <c r="E6">
        <v>148</v>
      </c>
      <c r="F6"/>
      <c r="G6"/>
      <c r="H6"/>
      <c r="I6">
        <v>510</v>
      </c>
      <c r="J6"/>
      <c r="K6"/>
      <c r="L6"/>
      <c r="M6"/>
      <c r="N6"/>
      <c r="O6"/>
      <c r="P6" s="318">
        <f t="shared" si="0"/>
        <v>325</v>
      </c>
    </row>
    <row r="7" spans="1:16" ht="12.75">
      <c r="A7" s="15" t="s">
        <v>4</v>
      </c>
      <c r="B7">
        <v>194</v>
      </c>
      <c r="C7">
        <v>144</v>
      </c>
      <c r="D7">
        <v>146</v>
      </c>
      <c r="E7">
        <v>148</v>
      </c>
      <c r="F7"/>
      <c r="G7">
        <v>102</v>
      </c>
      <c r="H7">
        <v>88</v>
      </c>
      <c r="I7">
        <v>90</v>
      </c>
      <c r="J7">
        <v>98</v>
      </c>
      <c r="K7">
        <v>106</v>
      </c>
      <c r="L7">
        <v>108</v>
      </c>
      <c r="M7">
        <v>114</v>
      </c>
      <c r="N7">
        <v>122</v>
      </c>
      <c r="O7">
        <v>134</v>
      </c>
      <c r="P7" s="318">
        <f t="shared" si="0"/>
        <v>122.61538461538461</v>
      </c>
    </row>
    <row r="8" spans="1:16" ht="12.75">
      <c r="A8" s="15" t="s">
        <v>5</v>
      </c>
      <c r="B8">
        <v>158</v>
      </c>
      <c r="C8">
        <v>156</v>
      </c>
      <c r="D8">
        <v>144</v>
      </c>
      <c r="E8">
        <v>110</v>
      </c>
      <c r="F8"/>
      <c r="G8">
        <v>104</v>
      </c>
      <c r="H8">
        <v>130</v>
      </c>
      <c r="I8">
        <v>134</v>
      </c>
      <c r="J8">
        <v>150</v>
      </c>
      <c r="K8" s="195" t="s">
        <v>556</v>
      </c>
      <c r="L8" s="195" t="s">
        <v>556</v>
      </c>
      <c r="M8">
        <v>170</v>
      </c>
      <c r="N8">
        <v>170</v>
      </c>
      <c r="O8">
        <v>166</v>
      </c>
      <c r="P8" s="318">
        <f t="shared" si="0"/>
        <v>144.72727272727272</v>
      </c>
    </row>
    <row r="9" spans="1:16" ht="12.75">
      <c r="A9" s="15" t="s">
        <v>6</v>
      </c>
      <c r="B9">
        <v>110</v>
      </c>
      <c r="C9">
        <v>112</v>
      </c>
      <c r="D9">
        <v>116</v>
      </c>
      <c r="E9">
        <v>110</v>
      </c>
      <c r="F9">
        <v>78</v>
      </c>
      <c r="G9">
        <v>60</v>
      </c>
      <c r="H9">
        <v>62</v>
      </c>
      <c r="I9">
        <v>92</v>
      </c>
      <c r="J9">
        <v>102</v>
      </c>
      <c r="K9">
        <v>116</v>
      </c>
      <c r="L9">
        <v>112</v>
      </c>
      <c r="M9">
        <v>100</v>
      </c>
      <c r="N9">
        <v>100</v>
      </c>
      <c r="O9">
        <v>106</v>
      </c>
      <c r="P9" s="318">
        <f t="shared" si="0"/>
        <v>98.28571428571429</v>
      </c>
    </row>
    <row r="10" spans="1:2" ht="11.25">
      <c r="A10" s="40" t="s">
        <v>329</v>
      </c>
      <c r="B10" s="41">
        <f>AVERAGE(B3:N5)</f>
        <v>117.21212121212122</v>
      </c>
    </row>
    <row r="11" spans="1:2" ht="11.25">
      <c r="A11" s="40" t="s">
        <v>330</v>
      </c>
      <c r="B11" s="41">
        <f>AVERAGE(B7:O7)</f>
        <v>122.61538461538461</v>
      </c>
    </row>
    <row r="12" spans="1:2" ht="11.25">
      <c r="A12" s="40" t="s">
        <v>331</v>
      </c>
      <c r="B12" s="41">
        <f>AVERAGE(B8:O8)</f>
        <v>144.72727272727272</v>
      </c>
    </row>
    <row r="13" spans="1:2" ht="11.25">
      <c r="A13" s="40" t="s">
        <v>332</v>
      </c>
      <c r="B13" s="42">
        <f>AVERAGE(B7:O7)</f>
        <v>122.61538461538461</v>
      </c>
    </row>
  </sheetData>
  <mergeCells count="1">
    <mergeCell ref="A1:K1"/>
  </mergeCells>
  <printOptions/>
  <pageMargins left="0.75" right="0.75" top="1" bottom="1" header="0.5" footer="0.5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selection activeCell="B43" sqref="B43"/>
    </sheetView>
  </sheetViews>
  <sheetFormatPr defaultColWidth="9.140625" defaultRowHeight="12.75"/>
  <cols>
    <col min="1" max="1" width="27.28125" style="15" bestFit="1" customWidth="1"/>
    <col min="2" max="2" width="7.8515625" style="15" bestFit="1" customWidth="1"/>
    <col min="3" max="3" width="7.00390625" style="15" bestFit="1" customWidth="1"/>
    <col min="4" max="4" width="9.00390625" style="15" customWidth="1"/>
    <col min="5" max="5" width="10.28125" style="15" customWidth="1"/>
    <col min="6" max="6" width="9.421875" style="15" customWidth="1"/>
    <col min="7" max="7" width="7.140625" style="15" bestFit="1" customWidth="1"/>
    <col min="8" max="8" width="7.00390625" style="15" bestFit="1" customWidth="1"/>
    <col min="9" max="10" width="7.140625" style="15" bestFit="1" customWidth="1"/>
    <col min="11" max="11" width="9.57421875" style="15" bestFit="1" customWidth="1"/>
    <col min="12" max="13" width="7.140625" style="15" customWidth="1"/>
    <col min="14" max="14" width="10.00390625" style="15" customWidth="1"/>
    <col min="15" max="15" width="8.28125" style="15" customWidth="1"/>
    <col min="16" max="16" width="8.00390625" style="15" customWidth="1"/>
    <col min="17" max="17" width="6.28125" style="15" bestFit="1" customWidth="1"/>
    <col min="18" max="20" width="7.00390625" style="15" bestFit="1" customWidth="1"/>
    <col min="21" max="16384" width="9.140625" style="15" customWidth="1"/>
  </cols>
  <sheetData>
    <row r="1" spans="1:20" ht="11.25">
      <c r="A1" s="440" t="s">
        <v>333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5"/>
      <c r="T1" s="45"/>
    </row>
    <row r="2" spans="1:20" ht="12.75">
      <c r="A2" s="16" t="s">
        <v>0</v>
      </c>
      <c r="B2" s="293">
        <v>38378</v>
      </c>
      <c r="C2" s="293">
        <v>38411</v>
      </c>
      <c r="D2" s="293">
        <v>38440</v>
      </c>
      <c r="E2" s="293">
        <v>38449</v>
      </c>
      <c r="F2" s="293">
        <v>38503</v>
      </c>
      <c r="G2" s="293">
        <v>38524</v>
      </c>
      <c r="H2" s="293">
        <v>38541</v>
      </c>
      <c r="I2" s="293">
        <v>38554</v>
      </c>
      <c r="J2" s="293">
        <v>38581</v>
      </c>
      <c r="K2" s="293">
        <v>38595</v>
      </c>
      <c r="L2" s="293">
        <v>38610</v>
      </c>
      <c r="M2" s="293">
        <v>38624</v>
      </c>
      <c r="N2" s="293">
        <v>38653</v>
      </c>
      <c r="O2" s="293">
        <v>38686</v>
      </c>
      <c r="P2" s="293">
        <v>38708</v>
      </c>
      <c r="Q2" s="30"/>
      <c r="R2" s="30"/>
      <c r="S2" s="30"/>
      <c r="T2" s="30"/>
    </row>
    <row r="3" spans="1:16" ht="12.75">
      <c r="A3" s="15" t="s">
        <v>4</v>
      </c>
      <c r="B3">
        <v>0.3</v>
      </c>
      <c r="C3">
        <v>0.94</v>
      </c>
      <c r="D3">
        <v>0.2</v>
      </c>
      <c r="E3">
        <v>350</v>
      </c>
      <c r="F3">
        <v>892</v>
      </c>
      <c r="G3">
        <v>291</v>
      </c>
      <c r="H3">
        <v>98.8</v>
      </c>
      <c r="I3">
        <v>44.3</v>
      </c>
      <c r="J3">
        <v>46.2</v>
      </c>
      <c r="K3">
        <v>68.2</v>
      </c>
      <c r="L3">
        <v>17.7</v>
      </c>
      <c r="M3">
        <v>21.1</v>
      </c>
      <c r="N3">
        <v>0.188</v>
      </c>
      <c r="O3">
        <v>95.7</v>
      </c>
      <c r="P3">
        <v>1.5</v>
      </c>
    </row>
    <row r="4" spans="1:16" ht="12.75">
      <c r="A4" s="15" t="s">
        <v>5</v>
      </c>
      <c r="B4">
        <v>19</v>
      </c>
      <c r="C4">
        <v>21</v>
      </c>
      <c r="D4">
        <v>16</v>
      </c>
      <c r="E4">
        <v>82</v>
      </c>
      <c r="F4">
        <v>275</v>
      </c>
      <c r="G4">
        <v>142</v>
      </c>
      <c r="H4">
        <v>3</v>
      </c>
      <c r="I4">
        <v>0</v>
      </c>
      <c r="J4">
        <v>2</v>
      </c>
      <c r="K4">
        <v>0</v>
      </c>
      <c r="L4">
        <v>0.19</v>
      </c>
      <c r="M4">
        <v>0</v>
      </c>
      <c r="N4">
        <v>6.8</v>
      </c>
      <c r="O4">
        <v>149</v>
      </c>
      <c r="P4">
        <v>50</v>
      </c>
    </row>
    <row r="5" ht="11.25">
      <c r="A5" s="127" t="s">
        <v>508</v>
      </c>
    </row>
    <row r="6" spans="1:16" ht="12.75">
      <c r="A6" s="15" t="s">
        <v>6</v>
      </c>
      <c r="B6">
        <v>35</v>
      </c>
      <c r="C6">
        <v>16.6</v>
      </c>
      <c r="D6">
        <v>28</v>
      </c>
      <c r="E6">
        <v>29.3</v>
      </c>
      <c r="F6">
        <v>784</v>
      </c>
      <c r="G6">
        <v>65.9</v>
      </c>
      <c r="H6">
        <v>316</v>
      </c>
      <c r="I6">
        <v>60.8</v>
      </c>
      <c r="J6">
        <v>63.3</v>
      </c>
      <c r="K6">
        <v>60.8</v>
      </c>
      <c r="L6">
        <v>60.8</v>
      </c>
      <c r="M6">
        <v>20</v>
      </c>
      <c r="N6">
        <v>32.5</v>
      </c>
      <c r="O6">
        <v>26.1</v>
      </c>
      <c r="P6">
        <v>26.1</v>
      </c>
    </row>
    <row r="8" spans="1:16" ht="11.25">
      <c r="A8" s="15" t="s">
        <v>4</v>
      </c>
      <c r="B8" s="15">
        <f aca="true" t="shared" si="0" ref="B8:P8">B3*1.983</f>
        <v>0.5949</v>
      </c>
      <c r="C8" s="15">
        <f t="shared" si="0"/>
        <v>1.86402</v>
      </c>
      <c r="D8" s="15">
        <f t="shared" si="0"/>
        <v>0.39660000000000006</v>
      </c>
      <c r="E8" s="15">
        <f t="shared" si="0"/>
        <v>694.0500000000001</v>
      </c>
      <c r="F8" s="15">
        <f t="shared" si="0"/>
        <v>1768.836</v>
      </c>
      <c r="G8" s="15">
        <f t="shared" si="0"/>
        <v>577.053</v>
      </c>
      <c r="H8" s="15">
        <f t="shared" si="0"/>
        <v>195.9204</v>
      </c>
      <c r="I8" s="15">
        <f t="shared" si="0"/>
        <v>87.8469</v>
      </c>
      <c r="J8" s="15">
        <f t="shared" si="0"/>
        <v>91.61460000000001</v>
      </c>
      <c r="K8" s="15">
        <f t="shared" si="0"/>
        <v>135.2406</v>
      </c>
      <c r="L8" s="15">
        <f t="shared" si="0"/>
        <v>35.0991</v>
      </c>
      <c r="M8" s="15">
        <f t="shared" si="0"/>
        <v>41.841300000000004</v>
      </c>
      <c r="N8" s="15">
        <f t="shared" si="0"/>
        <v>0.372804</v>
      </c>
      <c r="O8" s="15">
        <f t="shared" si="0"/>
        <v>189.77310000000003</v>
      </c>
      <c r="P8" s="15">
        <f t="shared" si="0"/>
        <v>2.9745</v>
      </c>
    </row>
    <row r="9" spans="1:16" ht="11.25">
      <c r="A9" s="15" t="s">
        <v>5</v>
      </c>
      <c r="B9" s="15">
        <f>B4*1.983</f>
        <v>37.677</v>
      </c>
      <c r="C9" s="15">
        <f aca="true" t="shared" si="1" ref="C9:P9">C4*1.983</f>
        <v>41.643</v>
      </c>
      <c r="D9" s="15">
        <f t="shared" si="1"/>
        <v>31.728</v>
      </c>
      <c r="E9" s="15">
        <f t="shared" si="1"/>
        <v>162.606</v>
      </c>
      <c r="F9" s="15">
        <f t="shared" si="1"/>
        <v>545.325</v>
      </c>
      <c r="G9" s="15">
        <f t="shared" si="1"/>
        <v>281.586</v>
      </c>
      <c r="H9" s="15">
        <f t="shared" si="1"/>
        <v>5.949</v>
      </c>
      <c r="I9" s="15">
        <f t="shared" si="1"/>
        <v>0</v>
      </c>
      <c r="J9" s="15">
        <f t="shared" si="1"/>
        <v>3.966</v>
      </c>
      <c r="K9" s="15">
        <f t="shared" si="1"/>
        <v>0</v>
      </c>
      <c r="L9" s="15">
        <f t="shared" si="1"/>
        <v>0.37677000000000005</v>
      </c>
      <c r="M9" s="15">
        <f t="shared" si="1"/>
        <v>0</v>
      </c>
      <c r="N9" s="15">
        <f t="shared" si="1"/>
        <v>13.4844</v>
      </c>
      <c r="O9" s="15">
        <f t="shared" si="1"/>
        <v>295.46700000000004</v>
      </c>
      <c r="P9" s="15">
        <f t="shared" si="1"/>
        <v>99.15</v>
      </c>
    </row>
    <row r="10" spans="1:16" ht="11.25">
      <c r="A10" s="15" t="s">
        <v>6</v>
      </c>
      <c r="B10" s="15">
        <f>B6*1.983</f>
        <v>69.405</v>
      </c>
      <c r="C10" s="15">
        <f aca="true" t="shared" si="2" ref="C10:P10">C6*1.983</f>
        <v>32.91780000000001</v>
      </c>
      <c r="D10" s="15">
        <f t="shared" si="2"/>
        <v>55.524</v>
      </c>
      <c r="E10" s="15">
        <f t="shared" si="2"/>
        <v>58.10190000000001</v>
      </c>
      <c r="F10" s="15">
        <f t="shared" si="2"/>
        <v>1554.672</v>
      </c>
      <c r="G10" s="15">
        <f t="shared" si="2"/>
        <v>130.67970000000003</v>
      </c>
      <c r="H10" s="15">
        <f t="shared" si="2"/>
        <v>626.628</v>
      </c>
      <c r="I10" s="15">
        <f t="shared" si="2"/>
        <v>120.5664</v>
      </c>
      <c r="J10" s="15">
        <f t="shared" si="2"/>
        <v>125.5239</v>
      </c>
      <c r="K10" s="15">
        <f t="shared" si="2"/>
        <v>120.5664</v>
      </c>
      <c r="L10" s="15">
        <f t="shared" si="2"/>
        <v>120.5664</v>
      </c>
      <c r="M10" s="15">
        <f t="shared" si="2"/>
        <v>39.660000000000004</v>
      </c>
      <c r="N10" s="15">
        <f t="shared" si="2"/>
        <v>64.4475</v>
      </c>
      <c r="O10" s="15">
        <f t="shared" si="2"/>
        <v>51.7563</v>
      </c>
      <c r="P10" s="15">
        <f t="shared" si="2"/>
        <v>51.7563</v>
      </c>
    </row>
    <row r="24" spans="11:13" ht="11.25">
      <c r="K24" s="439" t="s">
        <v>342</v>
      </c>
      <c r="L24" s="439"/>
      <c r="M24" s="439"/>
    </row>
    <row r="25" spans="11:13" ht="2.25" customHeight="1">
      <c r="K25" s="15" t="s">
        <v>343</v>
      </c>
      <c r="L25" s="15" t="s">
        <v>344</v>
      </c>
      <c r="M25" s="15" t="s">
        <v>167</v>
      </c>
    </row>
    <row r="26" spans="11:14" ht="9.75" customHeight="1">
      <c r="K26" s="15" t="s">
        <v>503</v>
      </c>
      <c r="L26" s="15" t="s">
        <v>344</v>
      </c>
      <c r="M26" s="15" t="s">
        <v>167</v>
      </c>
      <c r="N26" s="15" t="s">
        <v>346</v>
      </c>
    </row>
    <row r="27" spans="1:14" ht="11.25">
      <c r="A27" s="444">
        <v>2005</v>
      </c>
      <c r="B27" s="445" t="s">
        <v>335</v>
      </c>
      <c r="C27" s="445" t="s">
        <v>336</v>
      </c>
      <c r="D27" s="445" t="s">
        <v>337</v>
      </c>
      <c r="E27" s="446" t="s">
        <v>338</v>
      </c>
      <c r="F27" s="447" t="s">
        <v>339</v>
      </c>
      <c r="J27" s="15" t="s">
        <v>105</v>
      </c>
      <c r="K27" s="294">
        <f>B10*31</f>
        <v>2151.555</v>
      </c>
      <c r="L27" s="294">
        <f>B9*31</f>
        <v>1167.987</v>
      </c>
      <c r="M27" s="294">
        <f>SUM(K27:L27)</f>
        <v>3319.542</v>
      </c>
      <c r="N27" s="294">
        <f>B8*31</f>
        <v>18.4419</v>
      </c>
    </row>
    <row r="28" spans="1:14" ht="24.75" customHeight="1">
      <c r="A28" s="444"/>
      <c r="B28" s="445"/>
      <c r="C28" s="445"/>
      <c r="D28" s="445"/>
      <c r="E28" s="446"/>
      <c r="F28" s="447"/>
      <c r="J28" s="15" t="s">
        <v>106</v>
      </c>
      <c r="K28" s="294">
        <f>C10*28</f>
        <v>921.6984000000002</v>
      </c>
      <c r="L28" s="294">
        <f>C9*28</f>
        <v>1166.004</v>
      </c>
      <c r="M28" s="294">
        <f aca="true" t="shared" si="3" ref="M28:M38">SUM(K28:L28)</f>
        <v>2087.7024</v>
      </c>
      <c r="N28" s="294">
        <f>C8*28</f>
        <v>52.19256</v>
      </c>
    </row>
    <row r="29" spans="1:14" ht="12.75">
      <c r="A29" s="444"/>
      <c r="B29" s="448" t="s">
        <v>340</v>
      </c>
      <c r="C29" s="449"/>
      <c r="D29" s="449"/>
      <c r="E29" s="449"/>
      <c r="F29" s="450"/>
      <c r="J29" s="15" t="s">
        <v>107</v>
      </c>
      <c r="K29" s="294">
        <f>D10*31</f>
        <v>1721.2440000000001</v>
      </c>
      <c r="L29" s="294">
        <f>D9*31</f>
        <v>983.5680000000001</v>
      </c>
      <c r="M29" s="294">
        <f t="shared" si="3"/>
        <v>2704.8120000000004</v>
      </c>
      <c r="N29" s="294">
        <f>D8*31</f>
        <v>12.294600000000003</v>
      </c>
    </row>
    <row r="30" spans="1:14" ht="12.75">
      <c r="A30" s="52" t="s">
        <v>105</v>
      </c>
      <c r="B30" s="186">
        <v>2151.555</v>
      </c>
      <c r="C30" s="186">
        <v>1167.987</v>
      </c>
      <c r="D30" s="53">
        <f aca="true" t="shared" si="4" ref="D30:D41">SUM(B30:C30)</f>
        <v>3319.542</v>
      </c>
      <c r="E30" s="54">
        <v>18.4419</v>
      </c>
      <c r="F30" s="263">
        <f aca="true" t="shared" si="5" ref="F30:F42">D30-E30</f>
        <v>3301.1001</v>
      </c>
      <c r="J30" s="15" t="s">
        <v>108</v>
      </c>
      <c r="K30" s="294">
        <f>E10*30</f>
        <v>1743.0570000000002</v>
      </c>
      <c r="L30" s="294">
        <f>E9*30</f>
        <v>4878.18</v>
      </c>
      <c r="M30" s="294">
        <f t="shared" si="3"/>
        <v>6621.237000000001</v>
      </c>
      <c r="N30" s="294">
        <f>E8*30</f>
        <v>20821.500000000004</v>
      </c>
    </row>
    <row r="31" spans="1:14" ht="12.75">
      <c r="A31" s="52" t="s">
        <v>106</v>
      </c>
      <c r="B31" s="186">
        <v>921.6984000000002</v>
      </c>
      <c r="C31" s="186">
        <v>1166.004</v>
      </c>
      <c r="D31" s="53">
        <f t="shared" si="4"/>
        <v>2087.7024</v>
      </c>
      <c r="E31" s="54">
        <v>52.19256</v>
      </c>
      <c r="F31" s="263">
        <f t="shared" si="5"/>
        <v>2035.5098400000002</v>
      </c>
      <c r="J31" s="15" t="s">
        <v>109</v>
      </c>
      <c r="K31" s="294">
        <f>F10*31</f>
        <v>48194.832</v>
      </c>
      <c r="L31" s="294">
        <f>F9*31</f>
        <v>16905.075</v>
      </c>
      <c r="M31" s="294">
        <f t="shared" si="3"/>
        <v>65099.90700000001</v>
      </c>
      <c r="N31" s="294">
        <f>F8*31</f>
        <v>54833.916</v>
      </c>
    </row>
    <row r="32" spans="1:14" ht="12.75">
      <c r="A32" s="52" t="s">
        <v>107</v>
      </c>
      <c r="B32" s="186">
        <v>1721.2440000000001</v>
      </c>
      <c r="C32" s="186">
        <v>983.5680000000001</v>
      </c>
      <c r="D32" s="53">
        <f t="shared" si="4"/>
        <v>2704.8120000000004</v>
      </c>
      <c r="E32" s="264">
        <v>12.294600000000003</v>
      </c>
      <c r="F32" s="263">
        <f t="shared" si="5"/>
        <v>2692.5174</v>
      </c>
      <c r="J32" s="15" t="s">
        <v>110</v>
      </c>
      <c r="K32" s="294">
        <f>G10*31</f>
        <v>4051.0707000000007</v>
      </c>
      <c r="L32" s="294">
        <f>G9*31</f>
        <v>8729.166000000001</v>
      </c>
      <c r="M32" s="294">
        <f t="shared" si="3"/>
        <v>12780.236700000001</v>
      </c>
      <c r="N32" s="294">
        <f>G8*31</f>
        <v>17888.643</v>
      </c>
    </row>
    <row r="33" spans="1:14" ht="12.75">
      <c r="A33" s="52" t="s">
        <v>108</v>
      </c>
      <c r="B33" s="186">
        <v>1743.0570000000002</v>
      </c>
      <c r="C33" s="186">
        <v>4878.18</v>
      </c>
      <c r="D33" s="53">
        <f t="shared" si="4"/>
        <v>6621.237000000001</v>
      </c>
      <c r="E33" s="54">
        <v>20821.5</v>
      </c>
      <c r="F33" s="263">
        <f t="shared" si="5"/>
        <v>-14200.262999999999</v>
      </c>
      <c r="J33" s="15" t="s">
        <v>111</v>
      </c>
      <c r="K33" s="294">
        <f>(H10+I10)/2*30</f>
        <v>11207.916000000001</v>
      </c>
      <c r="L33" s="294">
        <f>(H9+I9)/2*30</f>
        <v>89.235</v>
      </c>
      <c r="M33" s="294">
        <f t="shared" si="3"/>
        <v>11297.151000000002</v>
      </c>
      <c r="N33" s="294">
        <f>(H8+I8)/2*30</f>
        <v>4256.5095</v>
      </c>
    </row>
    <row r="34" spans="1:14" ht="12.75">
      <c r="A34" s="52" t="s">
        <v>109</v>
      </c>
      <c r="B34" s="186">
        <v>48194.832</v>
      </c>
      <c r="C34" s="186">
        <v>16905.075</v>
      </c>
      <c r="D34" s="53">
        <f t="shared" si="4"/>
        <v>65099.90700000001</v>
      </c>
      <c r="E34" s="54">
        <v>54833.916</v>
      </c>
      <c r="F34" s="263">
        <f t="shared" si="5"/>
        <v>10265.991000000009</v>
      </c>
      <c r="J34" s="15" t="s">
        <v>112</v>
      </c>
      <c r="K34" s="294">
        <f>(J10+K10)/2*31</f>
        <v>3814.3996500000003</v>
      </c>
      <c r="L34" s="294">
        <f>(J9+K9)/2*30</f>
        <v>59.49</v>
      </c>
      <c r="M34" s="294">
        <f t="shared" si="3"/>
        <v>3873.88965</v>
      </c>
      <c r="N34" s="294">
        <f>(J8+O8)/2*31</f>
        <v>4361.509350000001</v>
      </c>
    </row>
    <row r="35" spans="1:14" ht="12.75">
      <c r="A35" s="52" t="s">
        <v>110</v>
      </c>
      <c r="B35" s="186">
        <v>4051.0707000000007</v>
      </c>
      <c r="C35" s="186">
        <v>8729.166000000001</v>
      </c>
      <c r="D35" s="53">
        <f t="shared" si="4"/>
        <v>12780.236700000001</v>
      </c>
      <c r="E35" s="54">
        <v>17888.643</v>
      </c>
      <c r="F35" s="263">
        <f t="shared" si="5"/>
        <v>-5108.406299999999</v>
      </c>
      <c r="J35" s="15" t="s">
        <v>113</v>
      </c>
      <c r="K35" s="294">
        <f>(P10+Q10)/2*30</f>
        <v>776.3445</v>
      </c>
      <c r="L35" s="294">
        <f>(L9+M9)/2*30</f>
        <v>5.65155</v>
      </c>
      <c r="M35" s="294">
        <f t="shared" si="3"/>
        <v>781.9960500000001</v>
      </c>
      <c r="N35" s="294">
        <f>(L8+M8)/2*30</f>
        <v>1154.1060000000002</v>
      </c>
    </row>
    <row r="36" spans="1:14" ht="12.75">
      <c r="A36" s="52" t="s">
        <v>111</v>
      </c>
      <c r="B36" s="186">
        <v>11207.916000000001</v>
      </c>
      <c r="C36" s="186">
        <v>89.235</v>
      </c>
      <c r="D36" s="53">
        <f t="shared" si="4"/>
        <v>11297.151000000002</v>
      </c>
      <c r="E36" s="54">
        <v>4256.5095</v>
      </c>
      <c r="F36" s="263">
        <f t="shared" si="5"/>
        <v>7040.6415000000015</v>
      </c>
      <c r="J36" s="15" t="s">
        <v>114</v>
      </c>
      <c r="K36" s="294">
        <f>N10*30</f>
        <v>1933.4250000000002</v>
      </c>
      <c r="L36" s="294">
        <f>N9*30</f>
        <v>404.53200000000004</v>
      </c>
      <c r="M36" s="294">
        <f t="shared" si="3"/>
        <v>2337.9570000000003</v>
      </c>
      <c r="N36" s="294">
        <f>N8*30</f>
        <v>11.18412</v>
      </c>
    </row>
    <row r="37" spans="1:14" ht="12.75">
      <c r="A37" s="52" t="s">
        <v>112</v>
      </c>
      <c r="B37" s="186">
        <v>3814.3996500000003</v>
      </c>
      <c r="C37" s="186">
        <v>59.49</v>
      </c>
      <c r="D37" s="53">
        <f t="shared" si="4"/>
        <v>3873.88965</v>
      </c>
      <c r="E37" s="54">
        <v>4361.509350000001</v>
      </c>
      <c r="F37" s="263">
        <f t="shared" si="5"/>
        <v>-487.6197000000011</v>
      </c>
      <c r="J37" s="15" t="s">
        <v>115</v>
      </c>
      <c r="K37" s="294">
        <f>O10*30</f>
        <v>1552.689</v>
      </c>
      <c r="L37" s="294">
        <f>O9*30</f>
        <v>8864.010000000002</v>
      </c>
      <c r="M37" s="294">
        <f t="shared" si="3"/>
        <v>10416.699000000002</v>
      </c>
      <c r="N37" s="294">
        <f>O8*30</f>
        <v>5693.193000000001</v>
      </c>
    </row>
    <row r="38" spans="1:14" ht="12.75">
      <c r="A38" s="52" t="s">
        <v>113</v>
      </c>
      <c r="B38" s="186">
        <v>776.3445</v>
      </c>
      <c r="C38" s="186">
        <v>5.65155</v>
      </c>
      <c r="D38" s="53">
        <f t="shared" si="4"/>
        <v>781.9960500000001</v>
      </c>
      <c r="E38" s="54">
        <v>1154.1060000000002</v>
      </c>
      <c r="F38" s="263">
        <f t="shared" si="5"/>
        <v>-372.10995000000014</v>
      </c>
      <c r="J38" s="15" t="s">
        <v>116</v>
      </c>
      <c r="K38" s="294">
        <f>P10*30</f>
        <v>1552.689</v>
      </c>
      <c r="L38" s="294">
        <f>P9*30</f>
        <v>2974.5</v>
      </c>
      <c r="M38" s="294">
        <f t="shared" si="3"/>
        <v>4527.189</v>
      </c>
      <c r="N38" s="294">
        <f>P8*30</f>
        <v>89.235</v>
      </c>
    </row>
    <row r="39" spans="1:14" ht="12.75">
      <c r="A39" s="52" t="s">
        <v>114</v>
      </c>
      <c r="B39" s="186">
        <v>1933.425</v>
      </c>
      <c r="C39" s="186">
        <v>404.53200000000004</v>
      </c>
      <c r="D39" s="53">
        <f t="shared" si="4"/>
        <v>2337.957</v>
      </c>
      <c r="E39" s="54">
        <v>11.18412</v>
      </c>
      <c r="F39" s="263">
        <f t="shared" si="5"/>
        <v>2326.77288</v>
      </c>
      <c r="K39" s="294">
        <f>SUM(K27:K38)</f>
        <v>79620.92025000002</v>
      </c>
      <c r="L39" s="294">
        <f>SUM(L27:L38)</f>
        <v>46227.398550000005</v>
      </c>
      <c r="M39" s="294">
        <f>SUM(M27:M38)</f>
        <v>125848.31880000001</v>
      </c>
      <c r="N39" s="294">
        <f>SUM(N27:N38)</f>
        <v>109192.72503</v>
      </c>
    </row>
    <row r="40" spans="1:6" ht="12.75">
      <c r="A40" s="52" t="s">
        <v>115</v>
      </c>
      <c r="B40" s="186">
        <v>1552.689</v>
      </c>
      <c r="C40" s="186">
        <v>8864.01</v>
      </c>
      <c r="D40" s="53">
        <f t="shared" si="4"/>
        <v>10416.699</v>
      </c>
      <c r="E40" s="54">
        <v>5693.193000000001</v>
      </c>
      <c r="F40" s="263">
        <f t="shared" si="5"/>
        <v>4723.505999999999</v>
      </c>
    </row>
    <row r="41" spans="1:6" ht="12.75">
      <c r="A41" s="52" t="s">
        <v>116</v>
      </c>
      <c r="B41" s="186">
        <v>1552.689</v>
      </c>
      <c r="C41" s="186">
        <v>2974.5</v>
      </c>
      <c r="D41" s="53">
        <f t="shared" si="4"/>
        <v>4527.189</v>
      </c>
      <c r="E41" s="54">
        <v>89.235</v>
      </c>
      <c r="F41" s="263">
        <f t="shared" si="5"/>
        <v>4437.954000000001</v>
      </c>
    </row>
    <row r="42" spans="1:6" ht="12.75">
      <c r="A42" s="56" t="s">
        <v>341</v>
      </c>
      <c r="B42" s="57">
        <f>SUM(B30:B41)</f>
        <v>79620.92025000002</v>
      </c>
      <c r="C42" s="57">
        <f>SUM(C30:C41)</f>
        <v>46227.398550000005</v>
      </c>
      <c r="D42" s="57">
        <f>SUM(D30:D41)</f>
        <v>125848.3188</v>
      </c>
      <c r="E42" s="57">
        <v>109192.72503</v>
      </c>
      <c r="F42" s="58">
        <f t="shared" si="5"/>
        <v>16655.593769999992</v>
      </c>
    </row>
    <row r="43" spans="1:6" ht="12.75">
      <c r="A43" s="59"/>
      <c r="B43" s="60"/>
      <c r="C43" s="60"/>
      <c r="D43" s="61"/>
      <c r="E43" s="61"/>
      <c r="F43"/>
    </row>
  </sheetData>
  <mergeCells count="9">
    <mergeCell ref="A1:R1"/>
    <mergeCell ref="A27:A29"/>
    <mergeCell ref="B27:B28"/>
    <mergeCell ref="C27:C28"/>
    <mergeCell ref="D27:D28"/>
    <mergeCell ref="E27:E28"/>
    <mergeCell ref="F27:F28"/>
    <mergeCell ref="B29:F29"/>
    <mergeCell ref="K24:M24"/>
  </mergeCells>
  <printOptions/>
  <pageMargins left="0.25" right="0.25" top="1" bottom="1" header="0.5" footer="0.5"/>
  <pageSetup orientation="landscape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C22" sqref="C22:C25"/>
    </sheetView>
  </sheetViews>
  <sheetFormatPr defaultColWidth="9.140625" defaultRowHeight="12.75"/>
  <cols>
    <col min="1" max="1" width="34.7109375" style="0" bestFit="1" customWidth="1"/>
  </cols>
  <sheetData>
    <row r="1" spans="1:5" ht="12.75">
      <c r="A1" s="442" t="s">
        <v>126</v>
      </c>
      <c r="B1" s="442"/>
      <c r="C1" s="442"/>
      <c r="D1" s="442"/>
      <c r="E1" s="442"/>
    </row>
    <row r="2" spans="1:5" ht="12.75">
      <c r="A2" s="2" t="s">
        <v>0</v>
      </c>
      <c r="B2" s="1">
        <v>38581</v>
      </c>
      <c r="C2" s="1">
        <v>38653</v>
      </c>
      <c r="D2" s="1"/>
      <c r="E2" s="1"/>
    </row>
    <row r="3" spans="1:2" ht="12.75">
      <c r="A3" t="s">
        <v>1</v>
      </c>
      <c r="B3">
        <v>0.03</v>
      </c>
    </row>
    <row r="4" spans="1:2" ht="12.75">
      <c r="A4" t="s">
        <v>2</v>
      </c>
      <c r="B4">
        <v>0</v>
      </c>
    </row>
    <row r="5" spans="1:2" ht="12.75">
      <c r="A5" t="s">
        <v>3</v>
      </c>
      <c r="B5">
        <v>0</v>
      </c>
    </row>
    <row r="6" spans="1:2" ht="12.75">
      <c r="A6" t="s">
        <v>4</v>
      </c>
      <c r="B6">
        <v>0</v>
      </c>
    </row>
    <row r="7" spans="1:2" ht="12.75">
      <c r="A7" t="s">
        <v>5</v>
      </c>
      <c r="B7">
        <v>0.05</v>
      </c>
    </row>
    <row r="8" spans="1:2" ht="12.75">
      <c r="A8" t="s">
        <v>6</v>
      </c>
      <c r="B8">
        <v>0.04</v>
      </c>
    </row>
    <row r="9" spans="1:3" ht="12.75">
      <c r="A9" t="s">
        <v>549</v>
      </c>
      <c r="C9">
        <v>0.15</v>
      </c>
    </row>
    <row r="10" spans="1:3" ht="12.75">
      <c r="A10" t="s">
        <v>550</v>
      </c>
      <c r="C10">
        <v>0.19</v>
      </c>
    </row>
    <row r="11" spans="1:3" ht="12.75">
      <c r="A11" t="s">
        <v>551</v>
      </c>
      <c r="C11">
        <v>0.42</v>
      </c>
    </row>
    <row r="12" spans="1:3" ht="12.75">
      <c r="A12" t="s">
        <v>552</v>
      </c>
      <c r="C12">
        <v>0.15</v>
      </c>
    </row>
    <row r="14" spans="1:5" ht="12.75">
      <c r="A14" s="442" t="s">
        <v>613</v>
      </c>
      <c r="B14" s="442"/>
      <c r="C14" s="442"/>
      <c r="D14" s="442"/>
      <c r="E14" s="442"/>
    </row>
    <row r="15" spans="1:5" ht="12.75">
      <c r="A15" s="2" t="s">
        <v>0</v>
      </c>
      <c r="B15" s="1">
        <v>38104</v>
      </c>
      <c r="C15" s="1">
        <v>38118</v>
      </c>
      <c r="D15" s="319"/>
      <c r="E15" s="319"/>
    </row>
    <row r="16" spans="1:5" ht="12.75">
      <c r="A16" t="s">
        <v>1</v>
      </c>
      <c r="B16">
        <v>30</v>
      </c>
      <c r="D16" s="314"/>
      <c r="E16" s="314"/>
    </row>
    <row r="17" spans="1:5" ht="12.75">
      <c r="A17" t="s">
        <v>2</v>
      </c>
      <c r="B17">
        <v>0</v>
      </c>
      <c r="D17" s="314"/>
      <c r="E17" s="314"/>
    </row>
    <row r="18" spans="1:5" ht="12.75">
      <c r="A18" t="s">
        <v>3</v>
      </c>
      <c r="B18">
        <v>0</v>
      </c>
      <c r="D18" s="314"/>
      <c r="E18" s="314"/>
    </row>
    <row r="19" spans="1:5" ht="12.75">
      <c r="A19" t="s">
        <v>4</v>
      </c>
      <c r="B19">
        <v>0</v>
      </c>
      <c r="D19" s="314"/>
      <c r="E19" s="314"/>
    </row>
    <row r="20" spans="1:5" ht="12.75">
      <c r="A20" t="s">
        <v>5</v>
      </c>
      <c r="B20">
        <v>50</v>
      </c>
      <c r="D20" s="314"/>
      <c r="E20" s="314"/>
    </row>
    <row r="21" spans="1:5" ht="12.75">
      <c r="A21" t="s">
        <v>6</v>
      </c>
      <c r="B21">
        <v>40</v>
      </c>
      <c r="D21" s="314"/>
      <c r="E21" s="314"/>
    </row>
    <row r="22" spans="1:3" ht="12.75">
      <c r="A22" t="s">
        <v>549</v>
      </c>
      <c r="C22">
        <v>150</v>
      </c>
    </row>
    <row r="23" spans="1:3" ht="12.75">
      <c r="A23" t="s">
        <v>550</v>
      </c>
      <c r="C23">
        <v>190</v>
      </c>
    </row>
    <row r="24" spans="1:3" ht="12.75">
      <c r="A24" t="s">
        <v>551</v>
      </c>
      <c r="C24">
        <v>420</v>
      </c>
    </row>
    <row r="25" spans="1:3" ht="12.75">
      <c r="A25" t="s">
        <v>552</v>
      </c>
      <c r="C25">
        <v>150</v>
      </c>
    </row>
  </sheetData>
  <mergeCells count="2">
    <mergeCell ref="A1:E1"/>
    <mergeCell ref="A14:E14"/>
  </mergeCells>
  <printOptions/>
  <pageMargins left="0.75" right="0.75" top="1" bottom="1" header="0.5" footer="0.5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18" sqref="B18"/>
    </sheetView>
  </sheetViews>
  <sheetFormatPr defaultColWidth="9.140625" defaultRowHeight="12.75"/>
  <cols>
    <col min="1" max="1" width="34.7109375" style="0" bestFit="1" customWidth="1"/>
  </cols>
  <sheetData>
    <row r="1" spans="1:6" ht="12.75">
      <c r="A1" s="442" t="s">
        <v>127</v>
      </c>
      <c r="B1" s="442"/>
      <c r="C1" s="442"/>
      <c r="D1" s="442"/>
      <c r="E1" s="442"/>
      <c r="F1" s="442"/>
    </row>
    <row r="2" spans="1:6" ht="12.75">
      <c r="A2" s="2" t="s">
        <v>0</v>
      </c>
      <c r="B2" s="1">
        <v>38581</v>
      </c>
      <c r="C2" s="1"/>
      <c r="D2" s="1"/>
      <c r="E2" s="1"/>
      <c r="F2" s="1"/>
    </row>
    <row r="3" spans="1:2" ht="12.75">
      <c r="A3" t="s">
        <v>1</v>
      </c>
      <c r="B3">
        <v>0.5</v>
      </c>
    </row>
    <row r="4" spans="1:2" ht="12.75">
      <c r="A4" t="s">
        <v>2</v>
      </c>
      <c r="B4">
        <v>0.14</v>
      </c>
    </row>
    <row r="5" spans="1:2" ht="12.75">
      <c r="A5" t="s">
        <v>3</v>
      </c>
      <c r="B5">
        <v>0.13</v>
      </c>
    </row>
    <row r="6" spans="1:2" ht="12.75">
      <c r="A6" t="s">
        <v>4</v>
      </c>
      <c r="B6">
        <v>0.55</v>
      </c>
    </row>
    <row r="7" spans="1:2" ht="12.75">
      <c r="A7" t="s">
        <v>5</v>
      </c>
      <c r="B7">
        <v>4.96</v>
      </c>
    </row>
    <row r="8" spans="1:2" ht="12.75">
      <c r="A8" t="s">
        <v>6</v>
      </c>
      <c r="B8">
        <v>0.83</v>
      </c>
    </row>
    <row r="10" spans="1:6" ht="12.75">
      <c r="A10" s="442" t="s">
        <v>127</v>
      </c>
      <c r="B10" s="442"/>
      <c r="C10" s="442"/>
      <c r="D10" s="442"/>
      <c r="E10" s="442"/>
      <c r="F10" s="442"/>
    </row>
    <row r="11" spans="1:6" ht="12.75">
      <c r="A11" s="2" t="s">
        <v>0</v>
      </c>
      <c r="B11" s="1">
        <v>38070</v>
      </c>
      <c r="C11" s="1"/>
      <c r="D11" s="1"/>
      <c r="E11" s="1"/>
      <c r="F11" s="1"/>
    </row>
    <row r="12" spans="1:2" ht="12.75">
      <c r="A12" t="s">
        <v>1</v>
      </c>
      <c r="B12">
        <v>500</v>
      </c>
    </row>
    <row r="13" spans="1:2" ht="12.75">
      <c r="A13" t="s">
        <v>2</v>
      </c>
      <c r="B13">
        <v>140</v>
      </c>
    </row>
    <row r="14" spans="1:2" ht="12.75">
      <c r="A14" t="s">
        <v>3</v>
      </c>
      <c r="B14">
        <v>130</v>
      </c>
    </row>
    <row r="15" spans="1:2" ht="12.75">
      <c r="A15" t="s">
        <v>4</v>
      </c>
      <c r="B15">
        <v>550</v>
      </c>
    </row>
    <row r="16" spans="1:2" ht="12.75">
      <c r="A16" t="s">
        <v>5</v>
      </c>
      <c r="B16">
        <v>4960</v>
      </c>
    </row>
    <row r="17" spans="1:2" ht="12.75">
      <c r="A17" t="s">
        <v>6</v>
      </c>
      <c r="B17">
        <v>830</v>
      </c>
    </row>
  </sheetData>
  <mergeCells count="2">
    <mergeCell ref="A1:F1"/>
    <mergeCell ref="A10:F10"/>
  </mergeCells>
  <printOptions/>
  <pageMargins left="0.75" right="0.75" top="1" bottom="1" header="0.5" footer="0.5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15" sqref="D15"/>
    </sheetView>
  </sheetViews>
  <sheetFormatPr defaultColWidth="9.140625" defaultRowHeight="12.75"/>
  <cols>
    <col min="1" max="1" width="34.7109375" style="0" bestFit="1" customWidth="1"/>
  </cols>
  <sheetData>
    <row r="1" spans="1:6" ht="12.75">
      <c r="A1" s="442" t="s">
        <v>124</v>
      </c>
      <c r="B1" s="442"/>
      <c r="C1" s="442"/>
      <c r="D1" s="442"/>
      <c r="E1" s="442"/>
      <c r="F1" s="442"/>
    </row>
    <row r="2" spans="1:6" ht="12.75">
      <c r="A2" s="2" t="s">
        <v>0</v>
      </c>
      <c r="B2" s="1">
        <v>38581</v>
      </c>
      <c r="C2" s="1"/>
      <c r="D2" s="1"/>
      <c r="E2" s="1"/>
      <c r="F2" s="1"/>
    </row>
    <row r="3" spans="1:2" ht="12.75">
      <c r="A3" t="s">
        <v>1</v>
      </c>
      <c r="B3">
        <v>0</v>
      </c>
    </row>
    <row r="4" spans="1:2" ht="12.75">
      <c r="A4" t="s">
        <v>2</v>
      </c>
      <c r="B4">
        <v>0</v>
      </c>
    </row>
    <row r="5" spans="1:2" ht="12.75">
      <c r="A5" t="s">
        <v>3</v>
      </c>
      <c r="B5">
        <v>0</v>
      </c>
    </row>
    <row r="6" spans="1:2" ht="12.75">
      <c r="A6" t="s">
        <v>4</v>
      </c>
      <c r="B6">
        <v>0</v>
      </c>
    </row>
    <row r="7" spans="1:2" ht="12.75">
      <c r="A7" t="s">
        <v>5</v>
      </c>
      <c r="B7">
        <v>0</v>
      </c>
    </row>
    <row r="8" spans="1:2" ht="12.75">
      <c r="A8" t="s">
        <v>6</v>
      </c>
      <c r="B8">
        <v>0</v>
      </c>
    </row>
    <row r="10" spans="1:6" ht="12.75">
      <c r="A10" s="442" t="s">
        <v>125</v>
      </c>
      <c r="B10" s="442"/>
      <c r="C10" s="442"/>
      <c r="D10" s="442"/>
      <c r="E10" s="442"/>
      <c r="F10" s="442"/>
    </row>
    <row r="11" spans="1:6" ht="12.75">
      <c r="A11" s="2" t="s">
        <v>0</v>
      </c>
      <c r="B11" s="1">
        <v>38581</v>
      </c>
      <c r="C11" s="1"/>
      <c r="D11" s="1"/>
      <c r="E11" s="1"/>
      <c r="F11" s="1"/>
    </row>
    <row r="12" spans="1:2" ht="12.75">
      <c r="A12" t="s">
        <v>1</v>
      </c>
      <c r="B12">
        <v>0</v>
      </c>
    </row>
    <row r="13" spans="1:2" ht="12.75">
      <c r="A13" t="s">
        <v>2</v>
      </c>
      <c r="B13">
        <v>0</v>
      </c>
    </row>
    <row r="14" spans="1:2" ht="12.75">
      <c r="A14" t="s">
        <v>3</v>
      </c>
      <c r="B14">
        <v>0</v>
      </c>
    </row>
    <row r="15" spans="1:2" ht="12.75">
      <c r="A15" t="s">
        <v>4</v>
      </c>
      <c r="B15">
        <v>0</v>
      </c>
    </row>
    <row r="16" spans="1:2" ht="12.75">
      <c r="A16" t="s">
        <v>5</v>
      </c>
      <c r="B16">
        <v>0</v>
      </c>
    </row>
    <row r="17" spans="1:2" ht="12.75">
      <c r="A17" t="s">
        <v>6</v>
      </c>
      <c r="B17">
        <v>0</v>
      </c>
    </row>
  </sheetData>
  <mergeCells count="2">
    <mergeCell ref="A1:F1"/>
    <mergeCell ref="A10:F10"/>
  </mergeCells>
  <printOptions/>
  <pageMargins left="0.75" right="0.75" top="1" bottom="1" header="0.5" footer="0.5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B2" sqref="B2:B3"/>
    </sheetView>
  </sheetViews>
  <sheetFormatPr defaultColWidth="9.140625" defaultRowHeight="12.75"/>
  <cols>
    <col min="1" max="1" width="27.28125" style="0" bestFit="1" customWidth="1"/>
  </cols>
  <sheetData>
    <row r="1" spans="1:3" ht="12.75">
      <c r="A1" s="442" t="s">
        <v>152</v>
      </c>
      <c r="B1" s="442"/>
      <c r="C1" s="442"/>
    </row>
    <row r="2" spans="1:2" ht="12.75">
      <c r="A2" s="2" t="s">
        <v>0</v>
      </c>
      <c r="B2" s="1">
        <v>38581</v>
      </c>
    </row>
    <row r="3" spans="1:2" ht="12.75">
      <c r="A3" t="s">
        <v>8</v>
      </c>
      <c r="B3">
        <v>3.6</v>
      </c>
    </row>
  </sheetData>
  <mergeCells count="1">
    <mergeCell ref="A1:C1"/>
  </mergeCells>
  <printOptions/>
  <pageMargins left="0.75" right="0.75" top="1" bottom="1" header="0.5" footer="0.5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19" sqref="B19"/>
    </sheetView>
  </sheetViews>
  <sheetFormatPr defaultColWidth="9.140625" defaultRowHeight="12.75"/>
  <cols>
    <col min="1" max="1" width="34.7109375" style="15" bestFit="1" customWidth="1"/>
    <col min="2" max="16384" width="9.140625" style="15" customWidth="1"/>
  </cols>
  <sheetData>
    <row r="1" spans="1:6" ht="11.25">
      <c r="A1" s="440" t="s">
        <v>128</v>
      </c>
      <c r="B1" s="440"/>
      <c r="C1" s="440"/>
      <c r="D1" s="440"/>
      <c r="E1" s="440"/>
      <c r="F1" s="440"/>
    </row>
    <row r="2" spans="1:6" ht="12.75">
      <c r="A2" s="16" t="s">
        <v>0</v>
      </c>
      <c r="B2" s="1">
        <v>38581</v>
      </c>
      <c r="C2" s="20"/>
      <c r="D2" s="20"/>
      <c r="E2" s="20"/>
      <c r="F2" s="20"/>
    </row>
    <row r="3" spans="1:2" ht="12.75">
      <c r="A3" s="15" t="s">
        <v>1</v>
      </c>
      <c r="B3">
        <v>0.074</v>
      </c>
    </row>
    <row r="4" spans="1:2" ht="12.75">
      <c r="A4" s="15" t="s">
        <v>2</v>
      </c>
      <c r="B4">
        <v>0.007</v>
      </c>
    </row>
    <row r="5" spans="1:2" ht="12.75">
      <c r="A5" s="15" t="s">
        <v>3</v>
      </c>
      <c r="B5">
        <v>0</v>
      </c>
    </row>
    <row r="6" spans="1:2" ht="12.75">
      <c r="A6" s="15" t="s">
        <v>4</v>
      </c>
      <c r="B6">
        <v>0.12</v>
      </c>
    </row>
    <row r="7" spans="1:2" ht="12.75">
      <c r="A7" s="15" t="s">
        <v>5</v>
      </c>
      <c r="B7">
        <v>0.059</v>
      </c>
    </row>
    <row r="8" spans="1:2" ht="12.75">
      <c r="A8" s="15" t="s">
        <v>6</v>
      </c>
      <c r="B8">
        <v>0.019</v>
      </c>
    </row>
    <row r="10" spans="1:6" ht="11.25">
      <c r="A10" s="440" t="s">
        <v>128</v>
      </c>
      <c r="B10" s="440"/>
      <c r="C10" s="440"/>
      <c r="D10" s="440"/>
      <c r="E10" s="440"/>
      <c r="F10" s="440"/>
    </row>
    <row r="11" spans="1:6" ht="12.75">
      <c r="A11" s="16" t="s">
        <v>0</v>
      </c>
      <c r="B11" s="1">
        <v>38581</v>
      </c>
      <c r="C11" s="20"/>
      <c r="D11" s="20"/>
      <c r="E11" s="20"/>
      <c r="F11" s="20"/>
    </row>
    <row r="12" spans="1:2" ht="12.75">
      <c r="A12" s="15" t="s">
        <v>1</v>
      </c>
      <c r="B12">
        <v>74</v>
      </c>
    </row>
    <row r="13" spans="1:2" ht="12.75">
      <c r="A13" s="15" t="s">
        <v>2</v>
      </c>
      <c r="B13">
        <v>7</v>
      </c>
    </row>
    <row r="14" spans="1:2" ht="12.75">
      <c r="A14" s="15" t="s">
        <v>3</v>
      </c>
      <c r="B14">
        <v>0</v>
      </c>
    </row>
    <row r="15" spans="1:2" ht="12.75">
      <c r="A15" s="15" t="s">
        <v>4</v>
      </c>
      <c r="B15">
        <v>120</v>
      </c>
    </row>
    <row r="16" spans="1:2" ht="12.75">
      <c r="A16" s="15" t="s">
        <v>5</v>
      </c>
      <c r="B16">
        <v>59</v>
      </c>
    </row>
    <row r="17" spans="1:2" ht="12.75">
      <c r="A17" s="15" t="s">
        <v>6</v>
      </c>
      <c r="B17">
        <v>19</v>
      </c>
    </row>
  </sheetData>
  <mergeCells count="2">
    <mergeCell ref="A1:F1"/>
    <mergeCell ref="A10:F10"/>
  </mergeCells>
  <printOptions/>
  <pageMargins left="0.75" right="0.75" top="1" bottom="1" header="0.5" footer="0.5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selection activeCell="O9" sqref="O9:O12"/>
    </sheetView>
  </sheetViews>
  <sheetFormatPr defaultColWidth="9.140625" defaultRowHeight="12.75"/>
  <cols>
    <col min="1" max="1" width="35.7109375" style="15" bestFit="1" customWidth="1"/>
    <col min="2" max="2" width="6.8515625" style="15" bestFit="1" customWidth="1"/>
    <col min="3" max="3" width="7.7109375" style="15" bestFit="1" customWidth="1"/>
    <col min="4" max="4" width="7.00390625" style="15" bestFit="1" customWidth="1"/>
    <col min="5" max="5" width="5.7109375" style="15" bestFit="1" customWidth="1"/>
    <col min="6" max="6" width="6.7109375" style="15" bestFit="1" customWidth="1"/>
    <col min="7" max="7" width="7.28125" style="15" bestFit="1" customWidth="1"/>
    <col min="8" max="8" width="7.00390625" style="15" bestFit="1" customWidth="1"/>
    <col min="9" max="9" width="5.28125" style="15" bestFit="1" customWidth="1"/>
    <col min="10" max="10" width="7.00390625" style="15" bestFit="1" customWidth="1"/>
    <col min="11" max="14" width="7.140625" style="15" bestFit="1" customWidth="1"/>
    <col min="15" max="18" width="7.00390625" style="15" bestFit="1" customWidth="1"/>
    <col min="19" max="16384" width="9.140625" style="15" customWidth="1"/>
  </cols>
  <sheetData>
    <row r="1" spans="1:18" ht="11.25">
      <c r="A1" s="440" t="s">
        <v>123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5"/>
      <c r="Q1" s="45"/>
      <c r="R1" s="45"/>
    </row>
    <row r="2" spans="1:18" ht="12.75">
      <c r="A2" s="2" t="s">
        <v>0</v>
      </c>
      <c r="B2" s="293">
        <v>38378</v>
      </c>
      <c r="C2" s="293">
        <v>38411</v>
      </c>
      <c r="D2" s="293">
        <v>38440</v>
      </c>
      <c r="E2" s="293">
        <v>38449</v>
      </c>
      <c r="F2" s="293">
        <v>38471</v>
      </c>
      <c r="G2" s="293">
        <v>38503</v>
      </c>
      <c r="H2" s="293">
        <v>38524</v>
      </c>
      <c r="I2" s="293">
        <v>38541</v>
      </c>
      <c r="J2" s="293">
        <v>38554</v>
      </c>
      <c r="K2" s="293">
        <v>38581</v>
      </c>
      <c r="L2" s="293">
        <v>38595</v>
      </c>
      <c r="M2" s="293">
        <v>38610</v>
      </c>
      <c r="N2" s="293">
        <v>38624</v>
      </c>
      <c r="O2" s="293">
        <v>38653</v>
      </c>
      <c r="P2" s="293">
        <v>38686</v>
      </c>
      <c r="Q2" s="293">
        <v>38708</v>
      </c>
      <c r="R2"/>
    </row>
    <row r="3" spans="1:18" ht="12.75">
      <c r="A3" t="s">
        <v>1</v>
      </c>
      <c r="B3"/>
      <c r="C3">
        <v>0</v>
      </c>
      <c r="D3">
        <v>0.0002</v>
      </c>
      <c r="E3">
        <v>0</v>
      </c>
      <c r="F3"/>
      <c r="G3">
        <v>0.0003</v>
      </c>
      <c r="H3">
        <v>0.0002</v>
      </c>
      <c r="I3">
        <v>0</v>
      </c>
      <c r="J3">
        <v>0.0002</v>
      </c>
      <c r="K3">
        <v>0.0036</v>
      </c>
      <c r="L3">
        <v>0.0071</v>
      </c>
      <c r="M3">
        <v>0</v>
      </c>
      <c r="N3">
        <v>0.0006</v>
      </c>
      <c r="O3">
        <v>0</v>
      </c>
      <c r="P3">
        <v>0</v>
      </c>
      <c r="Q3"/>
      <c r="R3">
        <f aca="true" t="shared" si="0" ref="R3:R8">MAX(B3:Q3)</f>
        <v>0.0071</v>
      </c>
    </row>
    <row r="4" spans="1:18" ht="12.75">
      <c r="A4" t="s">
        <v>2</v>
      </c>
      <c r="B4"/>
      <c r="C4"/>
      <c r="D4"/>
      <c r="E4"/>
      <c r="F4"/>
      <c r="G4"/>
      <c r="H4"/>
      <c r="I4"/>
      <c r="J4">
        <v>0</v>
      </c>
      <c r="K4">
        <v>0.0044</v>
      </c>
      <c r="L4"/>
      <c r="M4"/>
      <c r="N4"/>
      <c r="O4">
        <v>0</v>
      </c>
      <c r="P4">
        <v>0</v>
      </c>
      <c r="Q4" t="s">
        <v>555</v>
      </c>
      <c r="R4">
        <f t="shared" si="0"/>
        <v>0.0044</v>
      </c>
    </row>
    <row r="5" spans="1:18" ht="12.75">
      <c r="A5" t="s">
        <v>3</v>
      </c>
      <c r="B5"/>
      <c r="C5"/>
      <c r="D5"/>
      <c r="E5"/>
      <c r="F5"/>
      <c r="G5"/>
      <c r="H5"/>
      <c r="I5"/>
      <c r="J5"/>
      <c r="K5">
        <v>0.0042</v>
      </c>
      <c r="L5"/>
      <c r="M5"/>
      <c r="N5"/>
      <c r="O5"/>
      <c r="P5"/>
      <c r="Q5" t="s">
        <v>555</v>
      </c>
      <c r="R5">
        <f t="shared" si="0"/>
        <v>0.0042</v>
      </c>
    </row>
    <row r="6" spans="1:18" ht="12.75">
      <c r="A6" t="s">
        <v>4</v>
      </c>
      <c r="B6"/>
      <c r="C6"/>
      <c r="D6"/>
      <c r="E6"/>
      <c r="F6"/>
      <c r="G6"/>
      <c r="H6"/>
      <c r="I6"/>
      <c r="J6">
        <v>0</v>
      </c>
      <c r="K6">
        <v>0</v>
      </c>
      <c r="L6"/>
      <c r="M6"/>
      <c r="N6"/>
      <c r="O6">
        <v>0</v>
      </c>
      <c r="P6">
        <v>0</v>
      </c>
      <c r="Q6">
        <v>0</v>
      </c>
      <c r="R6">
        <f t="shared" si="0"/>
        <v>0</v>
      </c>
    </row>
    <row r="7" spans="1:18" ht="12.75">
      <c r="A7" t="s">
        <v>5</v>
      </c>
      <c r="B7"/>
      <c r="C7"/>
      <c r="D7"/>
      <c r="E7"/>
      <c r="F7"/>
      <c r="G7"/>
      <c r="H7"/>
      <c r="I7"/>
      <c r="J7"/>
      <c r="K7">
        <v>0</v>
      </c>
      <c r="L7"/>
      <c r="M7"/>
      <c r="N7"/>
      <c r="O7"/>
      <c r="P7"/>
      <c r="Q7"/>
      <c r="R7">
        <f t="shared" si="0"/>
        <v>0</v>
      </c>
    </row>
    <row r="8" spans="1:18" ht="12.75">
      <c r="A8" t="s">
        <v>6</v>
      </c>
      <c r="B8">
        <v>0</v>
      </c>
      <c r="C8">
        <v>0</v>
      </c>
      <c r="D8">
        <v>0.0002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0.0123</v>
      </c>
      <c r="M8">
        <v>0.001</v>
      </c>
      <c r="N8">
        <v>0.0006</v>
      </c>
      <c r="O8">
        <v>0.0008</v>
      </c>
      <c r="P8">
        <v>0</v>
      </c>
      <c r="Q8">
        <v>0</v>
      </c>
      <c r="R8">
        <f t="shared" si="0"/>
        <v>0.0123</v>
      </c>
    </row>
    <row r="9" spans="1:18" ht="12.75">
      <c r="A9" t="s">
        <v>549</v>
      </c>
      <c r="B9"/>
      <c r="C9"/>
      <c r="D9"/>
      <c r="E9"/>
      <c r="F9"/>
      <c r="G9"/>
      <c r="H9"/>
      <c r="I9"/>
      <c r="J9"/>
      <c r="K9"/>
      <c r="L9"/>
      <c r="M9"/>
      <c r="N9"/>
      <c r="O9">
        <v>0</v>
      </c>
      <c r="P9"/>
      <c r="Q9"/>
      <c r="R9"/>
    </row>
    <row r="10" spans="1:18" ht="12.75">
      <c r="A10" t="s">
        <v>550</v>
      </c>
      <c r="B10"/>
      <c r="C10"/>
      <c r="D10"/>
      <c r="E10"/>
      <c r="F10"/>
      <c r="G10"/>
      <c r="H10"/>
      <c r="I10"/>
      <c r="J10"/>
      <c r="K10"/>
      <c r="L10"/>
      <c r="M10"/>
      <c r="N10"/>
      <c r="O10">
        <v>0.0005</v>
      </c>
      <c r="P10"/>
      <c r="Q10"/>
      <c r="R10"/>
    </row>
    <row r="11" spans="1:18" ht="12.75">
      <c r="A11" t="s">
        <v>551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>
        <v>0.0002</v>
      </c>
      <c r="P11"/>
      <c r="Q11"/>
      <c r="R11"/>
    </row>
    <row r="12" spans="1:18" ht="12.75">
      <c r="A12" t="s">
        <v>552</v>
      </c>
      <c r="B12"/>
      <c r="C12"/>
      <c r="D12"/>
      <c r="E12"/>
      <c r="F12"/>
      <c r="G12"/>
      <c r="H12"/>
      <c r="I12"/>
      <c r="J12"/>
      <c r="K12"/>
      <c r="L12"/>
      <c r="M12"/>
      <c r="N12"/>
      <c r="O12">
        <v>0</v>
      </c>
      <c r="P12"/>
      <c r="Q12"/>
      <c r="R12"/>
    </row>
    <row r="14" spans="2:4" ht="11.25">
      <c r="B14" s="320"/>
      <c r="C14" s="320" t="s">
        <v>574</v>
      </c>
      <c r="D14" s="320" t="s">
        <v>415</v>
      </c>
    </row>
    <row r="15" spans="2:3" ht="11.25">
      <c r="B15" s="321">
        <v>38353</v>
      </c>
      <c r="C15" s="15">
        <v>0</v>
      </c>
    </row>
    <row r="16" spans="2:4" ht="11.25">
      <c r="B16" s="321">
        <v>38384</v>
      </c>
      <c r="C16" s="15">
        <v>0</v>
      </c>
      <c r="D16" s="15">
        <v>0</v>
      </c>
    </row>
    <row r="17" spans="2:4" ht="11.25">
      <c r="B17" s="321">
        <v>38412</v>
      </c>
      <c r="C17" s="15">
        <v>0.2</v>
      </c>
      <c r="D17" s="15">
        <v>0.2</v>
      </c>
    </row>
    <row r="18" spans="2:4" ht="11.25">
      <c r="B18" s="321">
        <v>38443</v>
      </c>
      <c r="C18" s="15">
        <v>0</v>
      </c>
      <c r="D18" s="15">
        <v>0.3</v>
      </c>
    </row>
    <row r="19" spans="2:4" ht="11.25">
      <c r="B19" s="321">
        <v>38473</v>
      </c>
      <c r="C19" s="15">
        <v>0</v>
      </c>
      <c r="D19" s="15">
        <v>0.2</v>
      </c>
    </row>
    <row r="20" spans="2:4" ht="11.25">
      <c r="B20" s="321">
        <v>38504</v>
      </c>
      <c r="C20" s="15">
        <v>0</v>
      </c>
      <c r="D20" s="15">
        <v>0</v>
      </c>
    </row>
    <row r="21" spans="2:4" ht="11.25">
      <c r="B21" s="321">
        <v>38534</v>
      </c>
      <c r="C21" s="15">
        <v>0</v>
      </c>
      <c r="D21" s="15">
        <v>0.2</v>
      </c>
    </row>
    <row r="22" spans="2:4" ht="11.25">
      <c r="B22" s="321">
        <v>38565</v>
      </c>
      <c r="C22" s="15">
        <v>12.3</v>
      </c>
      <c r="D22" s="15">
        <v>7.1</v>
      </c>
    </row>
    <row r="23" spans="2:4" ht="11.25">
      <c r="B23" s="321">
        <v>38596</v>
      </c>
      <c r="C23" s="15">
        <v>1</v>
      </c>
      <c r="D23" s="15">
        <v>0.6</v>
      </c>
    </row>
    <row r="24" spans="2:4" ht="11.25">
      <c r="B24" s="321">
        <v>38626</v>
      </c>
      <c r="C24" s="15">
        <v>0.8</v>
      </c>
      <c r="D24" s="15">
        <v>0</v>
      </c>
    </row>
    <row r="25" spans="2:4" ht="11.25">
      <c r="B25" s="321">
        <v>38657</v>
      </c>
      <c r="C25" s="15">
        <v>0</v>
      </c>
      <c r="D25" s="15">
        <v>0</v>
      </c>
    </row>
    <row r="26" spans="2:3" ht="11.25">
      <c r="B26" s="321">
        <v>38687</v>
      </c>
      <c r="C26" s="15">
        <v>0</v>
      </c>
    </row>
    <row r="27" spans="2:4" ht="11.25">
      <c r="B27" s="371" t="s">
        <v>436</v>
      </c>
      <c r="C27" s="371">
        <f>COUNT(C15:C26)</f>
        <v>12</v>
      </c>
      <c r="D27" s="371">
        <f>COUNT(D15:D26)</f>
        <v>10</v>
      </c>
    </row>
  </sheetData>
  <mergeCells count="1">
    <mergeCell ref="A1:O1"/>
  </mergeCells>
  <printOptions/>
  <pageMargins left="0.75" right="0.75" top="1" bottom="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A1" sqref="A1:B31"/>
    </sheetView>
  </sheetViews>
  <sheetFormatPr defaultColWidth="9.140625" defaultRowHeight="12.75"/>
  <cols>
    <col min="1" max="1" width="45.421875" style="0" customWidth="1"/>
    <col min="2" max="2" width="40.140625" style="0" customWidth="1"/>
  </cols>
  <sheetData>
    <row r="1" spans="1:2" ht="15.75">
      <c r="A1" s="420" t="s">
        <v>554</v>
      </c>
      <c r="B1" s="420"/>
    </row>
    <row r="3" spans="1:2" ht="15.75">
      <c r="A3" s="205" t="s">
        <v>458</v>
      </c>
      <c r="B3" s="206" t="s">
        <v>459</v>
      </c>
    </row>
    <row r="4" spans="1:2" ht="12.75">
      <c r="A4" s="421" t="s">
        <v>350</v>
      </c>
      <c r="B4" s="421"/>
    </row>
    <row r="5" spans="1:2" ht="12.75">
      <c r="A5" s="207" t="s">
        <v>480</v>
      </c>
      <c r="B5" s="208">
        <v>7.1</v>
      </c>
    </row>
    <row r="6" spans="1:2" ht="12.75">
      <c r="A6" s="209" t="s">
        <v>460</v>
      </c>
      <c r="B6" s="208">
        <v>12.7</v>
      </c>
    </row>
    <row r="7" spans="1:2" ht="12.75">
      <c r="A7" s="422" t="s">
        <v>429</v>
      </c>
      <c r="B7" s="422"/>
    </row>
    <row r="8" spans="1:2" ht="12.75">
      <c r="A8" s="209" t="s">
        <v>461</v>
      </c>
      <c r="B8" s="210">
        <v>26</v>
      </c>
    </row>
    <row r="9" spans="1:2" ht="12.75">
      <c r="A9" s="209" t="s">
        <v>462</v>
      </c>
      <c r="B9" s="210">
        <v>27</v>
      </c>
    </row>
    <row r="10" spans="1:2" ht="12.75">
      <c r="A10" s="209" t="s">
        <v>463</v>
      </c>
      <c r="B10" s="210">
        <v>50</v>
      </c>
    </row>
    <row r="11" spans="1:2" ht="12.75">
      <c r="A11" s="209" t="s">
        <v>464</v>
      </c>
      <c r="B11" s="210">
        <v>7</v>
      </c>
    </row>
    <row r="12" spans="1:2" ht="12.75">
      <c r="A12" s="209" t="s">
        <v>465</v>
      </c>
      <c r="B12" s="210">
        <v>6.8</v>
      </c>
    </row>
    <row r="13" spans="1:2" ht="12.75">
      <c r="A13" s="209" t="s">
        <v>466</v>
      </c>
      <c r="B13" s="210">
        <v>25</v>
      </c>
    </row>
    <row r="14" spans="1:2" ht="12.75">
      <c r="A14" s="422" t="s">
        <v>446</v>
      </c>
      <c r="B14" s="423"/>
    </row>
    <row r="15" spans="1:2" ht="12.75">
      <c r="A15" s="209" t="s">
        <v>477</v>
      </c>
      <c r="B15" s="210">
        <v>565</v>
      </c>
    </row>
    <row r="16" spans="1:2" ht="12.75">
      <c r="A16" s="209" t="s">
        <v>478</v>
      </c>
      <c r="B16" s="210">
        <v>591</v>
      </c>
    </row>
    <row r="17" spans="1:2" ht="12.75">
      <c r="A17" s="209" t="s">
        <v>479</v>
      </c>
      <c r="B17" s="55">
        <v>1299</v>
      </c>
    </row>
    <row r="18" spans="1:2" ht="12.75">
      <c r="A18" s="422" t="s">
        <v>467</v>
      </c>
      <c r="B18" s="423"/>
    </row>
    <row r="19" spans="1:2" ht="12.75">
      <c r="A19" s="209" t="s">
        <v>481</v>
      </c>
      <c r="B19" s="210" t="s">
        <v>583</v>
      </c>
    </row>
    <row r="20" spans="1:2" ht="12.75">
      <c r="A20" s="209" t="s">
        <v>482</v>
      </c>
      <c r="B20" s="208" t="s">
        <v>584</v>
      </c>
    </row>
    <row r="21" spans="1:2" ht="12.75">
      <c r="A21" s="422" t="s">
        <v>468</v>
      </c>
      <c r="B21" s="423"/>
    </row>
    <row r="22" spans="1:2" ht="12.75">
      <c r="A22" s="209" t="s">
        <v>469</v>
      </c>
      <c r="B22" s="208">
        <v>9</v>
      </c>
    </row>
    <row r="23" spans="1:2" ht="12.75">
      <c r="A23" s="209" t="s">
        <v>470</v>
      </c>
      <c r="B23" s="208">
        <v>9</v>
      </c>
    </row>
    <row r="24" spans="1:2" ht="12.75">
      <c r="A24" s="209" t="s">
        <v>471</v>
      </c>
      <c r="B24" s="210">
        <v>13.7</v>
      </c>
    </row>
    <row r="25" spans="1:2" ht="12.75">
      <c r="A25" s="424" t="s">
        <v>483</v>
      </c>
      <c r="B25" s="425"/>
    </row>
    <row r="26" spans="1:2" ht="12.75">
      <c r="A26" s="209" t="s">
        <v>484</v>
      </c>
      <c r="B26" s="210" t="s">
        <v>585</v>
      </c>
    </row>
    <row r="27" spans="1:2" ht="12.75">
      <c r="A27" s="209" t="s">
        <v>485</v>
      </c>
      <c r="B27" s="210" t="s">
        <v>489</v>
      </c>
    </row>
    <row r="28" spans="1:2" ht="12.75">
      <c r="A28" s="209" t="s">
        <v>486</v>
      </c>
      <c r="B28" s="210" t="s">
        <v>488</v>
      </c>
    </row>
    <row r="29" spans="1:2" ht="12.75">
      <c r="A29" s="209" t="s">
        <v>487</v>
      </c>
      <c r="B29" s="210" t="s">
        <v>586</v>
      </c>
    </row>
    <row r="30" spans="1:2" ht="12.75">
      <c r="A30" s="422" t="s">
        <v>472</v>
      </c>
      <c r="B30" s="422"/>
    </row>
    <row r="31" spans="1:2" ht="12.75">
      <c r="A31" s="209" t="s">
        <v>473</v>
      </c>
      <c r="B31" s="210"/>
    </row>
  </sheetData>
  <mergeCells count="8">
    <mergeCell ref="A18:B18"/>
    <mergeCell ref="A21:B21"/>
    <mergeCell ref="A30:B30"/>
    <mergeCell ref="A25:B25"/>
    <mergeCell ref="A1:B1"/>
    <mergeCell ref="A4:B4"/>
    <mergeCell ref="A7:B7"/>
    <mergeCell ref="A14:B14"/>
  </mergeCells>
  <printOptions/>
  <pageMargins left="0.68" right="0.75" top="1" bottom="1" header="0.5" footer="0.5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4" sqref="A4:B5"/>
    </sheetView>
  </sheetViews>
  <sheetFormatPr defaultColWidth="9.140625" defaultRowHeight="12.75"/>
  <cols>
    <col min="1" max="1" width="34.7109375" style="0" bestFit="1" customWidth="1"/>
  </cols>
  <sheetData>
    <row r="1" spans="1:3" ht="12.75">
      <c r="A1" s="3" t="s">
        <v>153</v>
      </c>
      <c r="B1" s="3"/>
      <c r="C1" s="3"/>
    </row>
    <row r="2" spans="1:3" ht="12.75">
      <c r="A2" s="2" t="s">
        <v>0</v>
      </c>
      <c r="B2" s="1">
        <v>38581</v>
      </c>
      <c r="C2" s="1"/>
    </row>
    <row r="3" spans="1:2" ht="12.75">
      <c r="A3" t="s">
        <v>8</v>
      </c>
      <c r="B3">
        <v>0</v>
      </c>
    </row>
  </sheetData>
  <printOptions/>
  <pageMargins left="0.75" right="0.75" top="1" bottom="1" header="0.5" footer="0.5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S8"/>
  <sheetViews>
    <sheetView workbookViewId="0" topLeftCell="A1">
      <selection activeCell="H11" sqref="H11"/>
    </sheetView>
  </sheetViews>
  <sheetFormatPr defaultColWidth="9.140625" defaultRowHeight="12.75"/>
  <cols>
    <col min="1" max="1" width="35.7109375" style="15" bestFit="1" customWidth="1"/>
    <col min="2" max="16" width="7.8515625" style="15" bestFit="1" customWidth="1"/>
    <col min="17" max="16384" width="9.140625" style="15" customWidth="1"/>
  </cols>
  <sheetData>
    <row r="1" spans="1:19" ht="11.25">
      <c r="A1" s="440" t="s">
        <v>151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5"/>
      <c r="R1" s="45"/>
      <c r="S1" s="45"/>
    </row>
    <row r="2" spans="1:19" ht="12.75">
      <c r="A2" s="2" t="s">
        <v>0</v>
      </c>
      <c r="B2" s="1">
        <v>38378</v>
      </c>
      <c r="C2" s="1">
        <v>38411</v>
      </c>
      <c r="D2" s="1">
        <v>38440</v>
      </c>
      <c r="E2" s="1">
        <v>38581</v>
      </c>
      <c r="F2" s="20"/>
      <c r="G2" s="20"/>
      <c r="H2" s="20"/>
      <c r="I2" s="20"/>
      <c r="J2" s="20"/>
      <c r="K2" s="20"/>
      <c r="L2" s="20"/>
      <c r="M2" s="20"/>
      <c r="N2" s="20"/>
      <c r="O2" s="39"/>
      <c r="P2" s="39"/>
      <c r="Q2" s="20"/>
      <c r="R2" s="20">
        <v>38313</v>
      </c>
      <c r="S2" s="20">
        <v>38338</v>
      </c>
    </row>
    <row r="3" spans="1:19" ht="12.75">
      <c r="A3" t="s">
        <v>1</v>
      </c>
      <c r="B3"/>
      <c r="C3">
        <v>0</v>
      </c>
      <c r="D3">
        <v>0</v>
      </c>
      <c r="E3">
        <v>0</v>
      </c>
      <c r="R3" s="15">
        <v>0</v>
      </c>
      <c r="S3" s="15">
        <v>0</v>
      </c>
    </row>
    <row r="4" spans="1:5" ht="12.75">
      <c r="A4" t="s">
        <v>2</v>
      </c>
      <c r="B4"/>
      <c r="C4"/>
      <c r="D4"/>
      <c r="E4">
        <v>0</v>
      </c>
    </row>
    <row r="5" spans="1:5" ht="12.75">
      <c r="A5" t="s">
        <v>3</v>
      </c>
      <c r="B5"/>
      <c r="C5"/>
      <c r="D5"/>
      <c r="E5">
        <v>0</v>
      </c>
    </row>
    <row r="6" spans="1:5" ht="12.75">
      <c r="A6" t="s">
        <v>4</v>
      </c>
      <c r="B6"/>
      <c r="C6"/>
      <c r="D6"/>
      <c r="E6">
        <v>0</v>
      </c>
    </row>
    <row r="7" spans="1:5" ht="12.75">
      <c r="A7" t="s">
        <v>5</v>
      </c>
      <c r="B7"/>
      <c r="C7"/>
      <c r="D7"/>
      <c r="E7">
        <v>0</v>
      </c>
    </row>
    <row r="8" spans="1:19" ht="12.75">
      <c r="A8" t="s">
        <v>6</v>
      </c>
      <c r="B8">
        <v>0.0022</v>
      </c>
      <c r="C8">
        <v>0</v>
      </c>
      <c r="D8">
        <v>0</v>
      </c>
      <c r="E8">
        <v>0</v>
      </c>
      <c r="R8" s="15">
        <v>0</v>
      </c>
      <c r="S8" s="15">
        <v>0</v>
      </c>
    </row>
  </sheetData>
  <mergeCells count="1">
    <mergeCell ref="A1:P1"/>
  </mergeCells>
  <printOptions/>
  <pageMargins left="0.25" right="0.25" top="1" bottom="1" header="0.5" footer="0.5"/>
  <pageSetup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selection activeCell="B44" sqref="B44:B47"/>
    </sheetView>
  </sheetViews>
  <sheetFormatPr defaultColWidth="9.140625" defaultRowHeight="12.75"/>
  <cols>
    <col min="1" max="1" width="32.421875" style="15" bestFit="1" customWidth="1"/>
    <col min="2" max="2" width="9.28125" style="15" bestFit="1" customWidth="1"/>
    <col min="3" max="4" width="7.00390625" style="15" bestFit="1" customWidth="1"/>
    <col min="5" max="5" width="6.28125" style="15" bestFit="1" customWidth="1"/>
    <col min="6" max="6" width="6.7109375" style="15" bestFit="1" customWidth="1"/>
    <col min="7" max="7" width="7.28125" style="15" bestFit="1" customWidth="1"/>
    <col min="8" max="8" width="6.8515625" style="15" bestFit="1" customWidth="1"/>
    <col min="9" max="9" width="5.7109375" style="15" bestFit="1" customWidth="1"/>
    <col min="10" max="10" width="6.28125" style="15" bestFit="1" customWidth="1"/>
    <col min="11" max="14" width="7.140625" style="15" bestFit="1" customWidth="1"/>
    <col min="15" max="15" width="6.57421875" style="15" bestFit="1" customWidth="1"/>
    <col min="16" max="17" width="7.00390625" style="15" bestFit="1" customWidth="1"/>
    <col min="18" max="18" width="6.00390625" style="15" bestFit="1" customWidth="1"/>
    <col min="19" max="20" width="6.140625" style="15" bestFit="1" customWidth="1"/>
    <col min="21" max="16384" width="9.140625" style="15" customWidth="1"/>
  </cols>
  <sheetData>
    <row r="1" spans="1:20" ht="11.25">
      <c r="A1" s="440" t="s">
        <v>148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5"/>
      <c r="S1" s="45"/>
      <c r="T1" s="45"/>
    </row>
    <row r="2" spans="1:20" ht="12.75">
      <c r="A2" s="2" t="s">
        <v>0</v>
      </c>
      <c r="B2" s="293">
        <v>38378</v>
      </c>
      <c r="C2" s="293">
        <v>38411</v>
      </c>
      <c r="D2" s="293">
        <v>38440</v>
      </c>
      <c r="E2" s="293">
        <v>38449</v>
      </c>
      <c r="F2" s="293">
        <v>38471</v>
      </c>
      <c r="G2" s="293">
        <v>38503</v>
      </c>
      <c r="H2" s="293">
        <v>38524</v>
      </c>
      <c r="I2" s="293">
        <v>38541</v>
      </c>
      <c r="J2" s="293">
        <v>38554</v>
      </c>
      <c r="K2" s="293">
        <v>38581</v>
      </c>
      <c r="L2" s="293">
        <v>38595</v>
      </c>
      <c r="M2" s="293">
        <v>38610</v>
      </c>
      <c r="N2" s="293">
        <v>38624</v>
      </c>
      <c r="O2" s="293">
        <v>38653</v>
      </c>
      <c r="P2" s="293">
        <v>38686</v>
      </c>
      <c r="Q2" s="293">
        <v>38708</v>
      </c>
      <c r="R2" s="30"/>
      <c r="S2" s="30"/>
      <c r="T2" s="30"/>
    </row>
    <row r="3" spans="1:18" ht="12.75">
      <c r="A3" t="s">
        <v>4</v>
      </c>
      <c r="B3">
        <v>0.203</v>
      </c>
      <c r="C3">
        <v>0.021</v>
      </c>
      <c r="D3">
        <v>0.006</v>
      </c>
      <c r="E3">
        <v>0</v>
      </c>
      <c r="F3"/>
      <c r="G3">
        <v>0.169</v>
      </c>
      <c r="H3">
        <v>0.129</v>
      </c>
      <c r="I3">
        <v>0.134</v>
      </c>
      <c r="J3">
        <v>0.158</v>
      </c>
      <c r="K3">
        <v>0.057</v>
      </c>
      <c r="L3">
        <v>0.009</v>
      </c>
      <c r="M3">
        <v>0.036</v>
      </c>
      <c r="N3">
        <v>0.005</v>
      </c>
      <c r="O3">
        <v>0</v>
      </c>
      <c r="P3">
        <v>0.006</v>
      </c>
      <c r="Q3">
        <v>0.043</v>
      </c>
      <c r="R3"/>
    </row>
    <row r="4" spans="1:18" ht="12.75">
      <c r="A4" t="s">
        <v>5</v>
      </c>
      <c r="B4">
        <v>1.25</v>
      </c>
      <c r="C4">
        <v>0.967</v>
      </c>
      <c r="D4">
        <v>0.883</v>
      </c>
      <c r="E4">
        <v>0.84</v>
      </c>
      <c r="F4"/>
      <c r="G4">
        <v>0.242</v>
      </c>
      <c r="H4">
        <v>0.158</v>
      </c>
      <c r="I4">
        <v>0.236</v>
      </c>
      <c r="J4"/>
      <c r="K4">
        <v>0.569</v>
      </c>
      <c r="L4"/>
      <c r="M4">
        <v>0.086</v>
      </c>
      <c r="N4"/>
      <c r="O4">
        <v>0.461</v>
      </c>
      <c r="P4">
        <v>0.451</v>
      </c>
      <c r="Q4">
        <v>0.637</v>
      </c>
      <c r="R4"/>
    </row>
    <row r="5" spans="1:18" ht="12.75">
      <c r="A5" t="s">
        <v>6</v>
      </c>
      <c r="B5">
        <v>0.235</v>
      </c>
      <c r="C5">
        <v>0.251</v>
      </c>
      <c r="D5">
        <v>0.194</v>
      </c>
      <c r="E5">
        <v>0.25</v>
      </c>
      <c r="F5">
        <v>0.434</v>
      </c>
      <c r="G5">
        <v>0.187</v>
      </c>
      <c r="H5">
        <v>0.149</v>
      </c>
      <c r="I5">
        <v>0.177</v>
      </c>
      <c r="J5">
        <v>0.272</v>
      </c>
      <c r="K5">
        <v>0.312</v>
      </c>
      <c r="L5">
        <v>0.245</v>
      </c>
      <c r="M5">
        <v>0.399</v>
      </c>
      <c r="N5">
        <v>1.31</v>
      </c>
      <c r="O5">
        <v>0.332</v>
      </c>
      <c r="P5">
        <v>0.543</v>
      </c>
      <c r="Q5">
        <v>0.601</v>
      </c>
      <c r="R5"/>
    </row>
    <row r="6" ht="12.75">
      <c r="R6"/>
    </row>
    <row r="7" ht="12.75">
      <c r="R7"/>
    </row>
    <row r="8" ht="12.75">
      <c r="R8"/>
    </row>
    <row r="10" spans="1:18" ht="11.25">
      <c r="A10" s="440" t="s">
        <v>149</v>
      </c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5"/>
    </row>
    <row r="11" spans="1:20" ht="12.75">
      <c r="A11" s="2" t="s">
        <v>0</v>
      </c>
      <c r="B11" s="293">
        <v>38378</v>
      </c>
      <c r="C11" s="293">
        <v>38411</v>
      </c>
      <c r="D11" s="293">
        <v>38440</v>
      </c>
      <c r="E11" s="293">
        <v>38449</v>
      </c>
      <c r="F11" s="293">
        <v>38471</v>
      </c>
      <c r="G11" s="293">
        <v>38503</v>
      </c>
      <c r="H11" s="293">
        <v>38524</v>
      </c>
      <c r="I11" s="293">
        <v>38541</v>
      </c>
      <c r="J11" s="293">
        <v>38554</v>
      </c>
      <c r="K11" s="293">
        <v>38581</v>
      </c>
      <c r="L11" s="293">
        <v>38595</v>
      </c>
      <c r="M11" s="293">
        <v>38610</v>
      </c>
      <c r="N11" s="293">
        <v>38624</v>
      </c>
      <c r="O11" s="293">
        <v>38653</v>
      </c>
      <c r="P11" s="293">
        <v>38686</v>
      </c>
      <c r="Q11" s="293">
        <v>38708</v>
      </c>
      <c r="R11" s="30"/>
      <c r="S11" s="30"/>
      <c r="T11" s="30"/>
    </row>
    <row r="12" spans="1:17" ht="12.75">
      <c r="A12" t="s">
        <v>4</v>
      </c>
      <c r="B12">
        <v>203</v>
      </c>
      <c r="C12">
        <v>21</v>
      </c>
      <c r="D12">
        <v>6</v>
      </c>
      <c r="E12">
        <v>0</v>
      </c>
      <c r="F12"/>
      <c r="G12">
        <v>169</v>
      </c>
      <c r="H12">
        <v>129</v>
      </c>
      <c r="I12">
        <v>134</v>
      </c>
      <c r="J12">
        <v>158</v>
      </c>
      <c r="K12">
        <v>57</v>
      </c>
      <c r="L12">
        <v>9</v>
      </c>
      <c r="M12">
        <v>36</v>
      </c>
      <c r="N12">
        <v>5</v>
      </c>
      <c r="O12">
        <v>0</v>
      </c>
      <c r="P12">
        <v>6</v>
      </c>
      <c r="Q12">
        <v>43</v>
      </c>
    </row>
    <row r="13" spans="1:17" ht="12.75">
      <c r="A13" t="s">
        <v>5</v>
      </c>
      <c r="B13">
        <v>1250</v>
      </c>
      <c r="C13">
        <v>967</v>
      </c>
      <c r="D13">
        <v>883</v>
      </c>
      <c r="E13">
        <v>840</v>
      </c>
      <c r="F13"/>
      <c r="G13">
        <v>42</v>
      </c>
      <c r="H13">
        <v>158</v>
      </c>
      <c r="I13">
        <v>236</v>
      </c>
      <c r="J13"/>
      <c r="K13">
        <v>569</v>
      </c>
      <c r="L13"/>
      <c r="M13">
        <v>86</v>
      </c>
      <c r="N13"/>
      <c r="O13">
        <v>461</v>
      </c>
      <c r="P13">
        <v>451</v>
      </c>
      <c r="Q13">
        <v>637</v>
      </c>
    </row>
    <row r="14" spans="1:17" ht="12.75">
      <c r="A14" t="s">
        <v>6</v>
      </c>
      <c r="B14">
        <v>235</v>
      </c>
      <c r="C14">
        <v>251</v>
      </c>
      <c r="D14">
        <v>194</v>
      </c>
      <c r="E14">
        <v>250</v>
      </c>
      <c r="F14">
        <v>434</v>
      </c>
      <c r="G14">
        <v>187</v>
      </c>
      <c r="H14">
        <v>149</v>
      </c>
      <c r="I14">
        <v>177</v>
      </c>
      <c r="J14">
        <v>272</v>
      </c>
      <c r="K14">
        <v>312</v>
      </c>
      <c r="L14">
        <v>245</v>
      </c>
      <c r="M14">
        <v>399</v>
      </c>
      <c r="N14">
        <v>1310</v>
      </c>
      <c r="O14">
        <v>332</v>
      </c>
      <c r="P14">
        <v>543</v>
      </c>
      <c r="Q14">
        <v>601</v>
      </c>
    </row>
    <row r="19" spans="18:20" ht="11.25">
      <c r="R19" s="15" t="s">
        <v>503</v>
      </c>
      <c r="S19" s="15" t="s">
        <v>344</v>
      </c>
      <c r="T19" s="15" t="s">
        <v>505</v>
      </c>
    </row>
    <row r="20" spans="17:20" ht="11.25">
      <c r="Q20" s="15" t="s">
        <v>105</v>
      </c>
      <c r="R20" s="15">
        <f>B5</f>
        <v>0.235</v>
      </c>
      <c r="S20" s="15">
        <f>B4</f>
        <v>1.25</v>
      </c>
      <c r="T20" s="15">
        <f>B3</f>
        <v>0.203</v>
      </c>
    </row>
    <row r="21" spans="17:20" ht="11.25">
      <c r="Q21" s="15" t="s">
        <v>106</v>
      </c>
      <c r="R21" s="15">
        <f>C5</f>
        <v>0.251</v>
      </c>
      <c r="S21" s="15">
        <f>C4</f>
        <v>0.967</v>
      </c>
      <c r="T21" s="15">
        <f>C3</f>
        <v>0.021</v>
      </c>
    </row>
    <row r="22" spans="17:20" ht="11.25">
      <c r="Q22" s="15" t="s">
        <v>107</v>
      </c>
      <c r="R22" s="15">
        <f>D5</f>
        <v>0.194</v>
      </c>
      <c r="S22" s="15">
        <f>D4</f>
        <v>0.883</v>
      </c>
      <c r="T22" s="15">
        <f>D3</f>
        <v>0.006</v>
      </c>
    </row>
    <row r="23" spans="17:20" ht="11.25">
      <c r="Q23" s="15" t="s">
        <v>108</v>
      </c>
      <c r="R23" s="15">
        <f>AVERAGE(E5:F5)</f>
        <v>0.34199999999999997</v>
      </c>
      <c r="S23" s="15">
        <f>E4</f>
        <v>0.84</v>
      </c>
      <c r="T23" s="15">
        <f>E3</f>
        <v>0</v>
      </c>
    </row>
    <row r="24" spans="17:20" ht="11.25">
      <c r="Q24" s="15" t="s">
        <v>109</v>
      </c>
      <c r="R24" s="15">
        <f>G5</f>
        <v>0.187</v>
      </c>
      <c r="S24" s="15">
        <f>G4</f>
        <v>0.242</v>
      </c>
      <c r="T24" s="15">
        <f>G3</f>
        <v>0.169</v>
      </c>
    </row>
    <row r="25" spans="17:20" ht="11.25">
      <c r="Q25" s="15" t="s">
        <v>110</v>
      </c>
      <c r="R25" s="15">
        <f>H5</f>
        <v>0.149</v>
      </c>
      <c r="S25" s="15">
        <f>H4</f>
        <v>0.158</v>
      </c>
      <c r="T25" s="15">
        <f>H3</f>
        <v>0.129</v>
      </c>
    </row>
    <row r="26" spans="17:20" ht="11.25">
      <c r="Q26" s="15" t="s">
        <v>111</v>
      </c>
      <c r="R26" s="15">
        <f>AVERAGE(I5:J5)</f>
        <v>0.2245</v>
      </c>
      <c r="S26" s="15">
        <f>I4</f>
        <v>0.236</v>
      </c>
      <c r="T26" s="15">
        <f>AVERAGE(I3:J3)</f>
        <v>0.14600000000000002</v>
      </c>
    </row>
    <row r="27" spans="17:20" ht="11.25">
      <c r="Q27" s="15" t="s">
        <v>112</v>
      </c>
      <c r="R27" s="15">
        <f>AVERAGE(K5:L5)</f>
        <v>0.27849999999999997</v>
      </c>
      <c r="S27" s="15">
        <f>K4</f>
        <v>0.569</v>
      </c>
      <c r="T27" s="15">
        <f>AVERAGE(K3:L3)</f>
        <v>0.033</v>
      </c>
    </row>
    <row r="28" spans="17:20" ht="11.25">
      <c r="Q28" s="15" t="s">
        <v>113</v>
      </c>
      <c r="R28" s="15">
        <f>AVERAGE(M5:N5)</f>
        <v>0.8545</v>
      </c>
      <c r="S28" s="15">
        <f>M4</f>
        <v>0.086</v>
      </c>
      <c r="T28" s="15">
        <f>AVERAGE(M3:N3)</f>
        <v>0.020499999999999997</v>
      </c>
    </row>
    <row r="29" spans="17:20" ht="11.25">
      <c r="Q29" s="15" t="s">
        <v>114</v>
      </c>
      <c r="R29" s="15">
        <f>O5</f>
        <v>0.332</v>
      </c>
      <c r="S29" s="15">
        <f>O4</f>
        <v>0.461</v>
      </c>
      <c r="T29" s="15">
        <f>O3</f>
        <v>0</v>
      </c>
    </row>
    <row r="30" spans="17:20" ht="11.25">
      <c r="Q30" s="15" t="s">
        <v>115</v>
      </c>
      <c r="R30" s="15">
        <f>P5</f>
        <v>0.543</v>
      </c>
      <c r="S30" s="15">
        <f>P4</f>
        <v>0.451</v>
      </c>
      <c r="T30" s="15">
        <f>P3</f>
        <v>0.006</v>
      </c>
    </row>
    <row r="31" spans="17:20" ht="11.25">
      <c r="Q31" s="15" t="s">
        <v>116</v>
      </c>
      <c r="R31" s="15">
        <f>Q5</f>
        <v>0.601</v>
      </c>
      <c r="S31" s="15">
        <f>Q4</f>
        <v>0.637</v>
      </c>
      <c r="T31" s="15">
        <f>Q3</f>
        <v>0.043</v>
      </c>
    </row>
    <row r="43" spans="1:2" ht="12.75">
      <c r="A43" s="2" t="s">
        <v>0</v>
      </c>
      <c r="B43" s="20">
        <v>38653</v>
      </c>
    </row>
    <row r="44" spans="1:2" ht="12.75">
      <c r="A44" t="s">
        <v>549</v>
      </c>
      <c r="B44">
        <v>0.319</v>
      </c>
    </row>
    <row r="45" spans="1:2" ht="12.75">
      <c r="A45" t="s">
        <v>550</v>
      </c>
      <c r="B45">
        <v>0.075</v>
      </c>
    </row>
    <row r="46" spans="1:2" ht="12.75">
      <c r="A46" t="s">
        <v>551</v>
      </c>
      <c r="B46">
        <v>0.025</v>
      </c>
    </row>
    <row r="47" spans="1:2" ht="12.75">
      <c r="A47" t="s">
        <v>552</v>
      </c>
      <c r="B47">
        <v>0.055</v>
      </c>
    </row>
  </sheetData>
  <mergeCells count="2">
    <mergeCell ref="A1:Q1"/>
    <mergeCell ref="A10:Q10"/>
  </mergeCells>
  <printOptions/>
  <pageMargins left="0.25" right="0.25" top="1" bottom="1" header="0.5" footer="0.5"/>
  <pageSetup orientation="landscape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P6"/>
  <sheetViews>
    <sheetView workbookViewId="0" topLeftCell="A1">
      <selection activeCell="N23" sqref="N23"/>
    </sheetView>
  </sheetViews>
  <sheetFormatPr defaultColWidth="9.140625" defaultRowHeight="12.75"/>
  <cols>
    <col min="1" max="1" width="32.421875" style="15" bestFit="1" customWidth="1"/>
    <col min="2" max="13" width="7.8515625" style="15" bestFit="1" customWidth="1"/>
    <col min="14" max="16384" width="9.140625" style="15" customWidth="1"/>
  </cols>
  <sheetData>
    <row r="1" spans="1:16" ht="11.25">
      <c r="A1" s="440" t="s">
        <v>150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5"/>
      <c r="O1" s="45"/>
      <c r="P1" s="45"/>
    </row>
    <row r="2" spans="1:16" ht="12.75">
      <c r="A2" s="2" t="s">
        <v>0</v>
      </c>
      <c r="B2" s="1">
        <v>38378</v>
      </c>
      <c r="C2" s="1">
        <v>38411</v>
      </c>
      <c r="D2" s="1">
        <v>38440</v>
      </c>
      <c r="E2" s="1">
        <v>38449</v>
      </c>
      <c r="F2" s="1">
        <v>38503</v>
      </c>
      <c r="G2" s="1">
        <v>38524</v>
      </c>
      <c r="H2" s="1">
        <v>38541</v>
      </c>
      <c r="I2" s="1">
        <v>38554</v>
      </c>
      <c r="J2" s="1">
        <v>38581</v>
      </c>
      <c r="K2" s="1">
        <v>38595</v>
      </c>
      <c r="L2" s="1">
        <v>38624</v>
      </c>
      <c r="M2" s="1">
        <v>38653</v>
      </c>
      <c r="N2" s="1">
        <v>38686</v>
      </c>
      <c r="O2" s="1">
        <v>38708</v>
      </c>
      <c r="P2" s="20"/>
    </row>
    <row r="3" spans="1:15" ht="12.75">
      <c r="A3" t="s">
        <v>7</v>
      </c>
      <c r="B3">
        <v>0.025</v>
      </c>
      <c r="C3"/>
      <c r="D3"/>
      <c r="E3"/>
      <c r="F3" s="9">
        <v>0.098</v>
      </c>
      <c r="G3" s="9"/>
      <c r="H3" s="9"/>
      <c r="I3"/>
      <c r="J3"/>
      <c r="K3"/>
      <c r="L3"/>
      <c r="M3"/>
      <c r="N3"/>
      <c r="O3"/>
    </row>
    <row r="4" spans="1:15" ht="12.75">
      <c r="A4" t="s">
        <v>4</v>
      </c>
      <c r="B4" s="9">
        <v>0.06</v>
      </c>
      <c r="C4" s="9">
        <v>0.018</v>
      </c>
      <c r="D4" s="9">
        <v>0.01</v>
      </c>
      <c r="E4" s="9">
        <v>0.009</v>
      </c>
      <c r="F4" s="9">
        <v>0.092</v>
      </c>
      <c r="G4" s="9">
        <v>0.081</v>
      </c>
      <c r="H4" s="9">
        <v>0.12</v>
      </c>
      <c r="I4">
        <v>0.113</v>
      </c>
      <c r="J4">
        <v>0.028</v>
      </c>
      <c r="K4">
        <v>0.04</v>
      </c>
      <c r="L4">
        <v>0.016</v>
      </c>
      <c r="M4">
        <v>0.006</v>
      </c>
      <c r="N4">
        <v>0.02</v>
      </c>
      <c r="O4">
        <v>0.055</v>
      </c>
    </row>
    <row r="5" spans="1:15" ht="12.75">
      <c r="A5" t="s">
        <v>5</v>
      </c>
      <c r="B5" s="9">
        <v>0.014</v>
      </c>
      <c r="C5" s="9">
        <v>0.052</v>
      </c>
      <c r="D5" s="9">
        <v>0.014</v>
      </c>
      <c r="E5" s="9">
        <v>0.011</v>
      </c>
      <c r="F5" s="9">
        <v>0.035</v>
      </c>
      <c r="G5" s="9">
        <v>0.014</v>
      </c>
      <c r="H5" s="9">
        <v>0.023</v>
      </c>
      <c r="I5" s="195" t="s">
        <v>556</v>
      </c>
      <c r="J5">
        <v>0.087</v>
      </c>
      <c r="K5" s="195" t="s">
        <v>556</v>
      </c>
      <c r="L5" s="195" t="s">
        <v>556</v>
      </c>
      <c r="M5">
        <v>0.008</v>
      </c>
      <c r="N5">
        <v>0.026</v>
      </c>
      <c r="O5">
        <v>0.144</v>
      </c>
    </row>
    <row r="6" spans="1:15" ht="12.75">
      <c r="A6" t="s">
        <v>6</v>
      </c>
      <c r="B6" s="9">
        <v>0.281</v>
      </c>
      <c r="C6" s="9">
        <v>0.743</v>
      </c>
      <c r="D6" s="9">
        <v>0.018</v>
      </c>
      <c r="E6" s="9">
        <v>0.034</v>
      </c>
      <c r="F6" s="9">
        <v>0.019</v>
      </c>
      <c r="G6" s="9">
        <v>0.078</v>
      </c>
      <c r="H6" s="9">
        <v>0.018</v>
      </c>
      <c r="I6">
        <v>0.023</v>
      </c>
      <c r="J6">
        <v>0.027</v>
      </c>
      <c r="K6">
        <v>0.012</v>
      </c>
      <c r="L6">
        <v>0.036</v>
      </c>
      <c r="M6">
        <v>0.009</v>
      </c>
      <c r="N6">
        <v>0.019</v>
      </c>
      <c r="O6">
        <v>0.033</v>
      </c>
    </row>
  </sheetData>
  <mergeCells count="1">
    <mergeCell ref="A1:M1"/>
  </mergeCells>
  <printOptions/>
  <pageMargins left="0.25" right="0.25" top="1" bottom="1" header="0.5" footer="0.5"/>
  <pageSetup orientation="landscape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A1">
      <selection activeCell="T3" sqref="T3"/>
    </sheetView>
  </sheetViews>
  <sheetFormatPr defaultColWidth="9.140625" defaultRowHeight="12.75"/>
  <cols>
    <col min="1" max="1" width="29.8515625" style="15" bestFit="1" customWidth="1"/>
    <col min="2" max="2" width="6.140625" style="15" bestFit="1" customWidth="1"/>
    <col min="3" max="3" width="6.28125" style="15" bestFit="1" customWidth="1"/>
    <col min="4" max="4" width="6.421875" style="15" bestFit="1" customWidth="1"/>
    <col min="5" max="5" width="6.28125" style="15" bestFit="1" customWidth="1"/>
    <col min="6" max="6" width="6.57421875" style="15" bestFit="1" customWidth="1"/>
    <col min="7" max="7" width="6.28125" style="15" bestFit="1" customWidth="1"/>
    <col min="8" max="8" width="6.140625" style="15" bestFit="1" customWidth="1"/>
    <col min="9" max="9" width="5.7109375" style="15" bestFit="1" customWidth="1"/>
    <col min="10" max="10" width="6.140625" style="15" bestFit="1" customWidth="1"/>
    <col min="11" max="11" width="5.7109375" style="15" bestFit="1" customWidth="1"/>
    <col min="12" max="12" width="6.140625" style="15" bestFit="1" customWidth="1"/>
    <col min="13" max="15" width="6.57421875" style="15" bestFit="1" customWidth="1"/>
    <col min="16" max="18" width="7.00390625" style="15" bestFit="1" customWidth="1"/>
    <col min="19" max="20" width="6.140625" style="15" bestFit="1" customWidth="1"/>
    <col min="21" max="16384" width="9.140625" style="15" customWidth="1"/>
  </cols>
  <sheetData>
    <row r="1" spans="1:20" ht="11.25">
      <c r="A1" s="440" t="s">
        <v>146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5"/>
      <c r="S1" s="45"/>
      <c r="T1" s="45"/>
    </row>
    <row r="2" spans="1:20" ht="11.25">
      <c r="A2" s="16" t="s">
        <v>0</v>
      </c>
      <c r="B2" s="20">
        <v>38411</v>
      </c>
      <c r="C2" s="20">
        <v>38420</v>
      </c>
      <c r="D2" s="20">
        <v>38440</v>
      </c>
      <c r="E2" s="20">
        <v>38449</v>
      </c>
      <c r="F2" s="20">
        <v>38471</v>
      </c>
      <c r="G2" s="20">
        <v>38503</v>
      </c>
      <c r="H2" s="20">
        <v>38524</v>
      </c>
      <c r="I2" s="20">
        <v>38541</v>
      </c>
      <c r="J2" s="20">
        <v>38554</v>
      </c>
      <c r="K2" s="20">
        <v>38568</v>
      </c>
      <c r="L2" s="20">
        <v>38581</v>
      </c>
      <c r="M2" s="20">
        <v>38595</v>
      </c>
      <c r="N2" s="20">
        <v>38610</v>
      </c>
      <c r="O2" s="20">
        <v>38624</v>
      </c>
      <c r="P2" s="20">
        <v>38653</v>
      </c>
      <c r="Q2" s="20">
        <v>38686</v>
      </c>
      <c r="R2" s="20">
        <v>38708</v>
      </c>
      <c r="S2" s="30"/>
      <c r="T2" s="30"/>
    </row>
    <row r="3" spans="1:20" ht="12.75">
      <c r="A3" s="15" t="s">
        <v>1</v>
      </c>
      <c r="B3">
        <v>0.529</v>
      </c>
      <c r="C3"/>
      <c r="D3">
        <v>0.393</v>
      </c>
      <c r="E3">
        <v>0.428</v>
      </c>
      <c r="F3"/>
      <c r="G3">
        <v>0.716</v>
      </c>
      <c r="H3">
        <v>0.885</v>
      </c>
      <c r="I3">
        <v>0.799</v>
      </c>
      <c r="J3">
        <v>0.933</v>
      </c>
      <c r="K3"/>
      <c r="L3" s="9">
        <v>0.86</v>
      </c>
      <c r="M3" s="9">
        <v>0.455</v>
      </c>
      <c r="N3">
        <v>0.446</v>
      </c>
      <c r="O3">
        <v>0.423</v>
      </c>
      <c r="P3">
        <v>1.299</v>
      </c>
      <c r="Q3">
        <v>0.391</v>
      </c>
      <c r="R3" t="s">
        <v>555</v>
      </c>
      <c r="S3" s="15">
        <f>AVERAGE(B3:Q5)</f>
        <v>0.5655641025641024</v>
      </c>
      <c r="T3" s="15">
        <f>AVERAGE(I3:O5)</f>
        <v>0.5909444444444445</v>
      </c>
    </row>
    <row r="4" spans="1:18" ht="12.75">
      <c r="A4" s="15" t="s">
        <v>2</v>
      </c>
      <c r="B4">
        <v>0.401</v>
      </c>
      <c r="C4"/>
      <c r="D4">
        <v>0.572</v>
      </c>
      <c r="E4">
        <v>0.504</v>
      </c>
      <c r="F4"/>
      <c r="G4">
        <v>0.618</v>
      </c>
      <c r="H4">
        <v>0.485</v>
      </c>
      <c r="I4">
        <v>0.695</v>
      </c>
      <c r="J4">
        <v>0.606</v>
      </c>
      <c r="K4"/>
      <c r="L4" s="9">
        <v>0.49</v>
      </c>
      <c r="M4" s="9">
        <v>0.328</v>
      </c>
      <c r="N4">
        <v>0.993</v>
      </c>
      <c r="O4">
        <v>0.389</v>
      </c>
      <c r="P4">
        <v>0.481</v>
      </c>
      <c r="Q4">
        <v>0.453</v>
      </c>
      <c r="R4" t="s">
        <v>555</v>
      </c>
    </row>
    <row r="5" spans="1:18" ht="12.75">
      <c r="A5" s="15" t="s">
        <v>3</v>
      </c>
      <c r="B5">
        <v>0.421</v>
      </c>
      <c r="C5"/>
      <c r="D5">
        <v>0.506</v>
      </c>
      <c r="E5">
        <v>0.414</v>
      </c>
      <c r="F5"/>
      <c r="G5">
        <v>0.532</v>
      </c>
      <c r="H5">
        <v>0.546</v>
      </c>
      <c r="I5">
        <v>0.726</v>
      </c>
      <c r="J5">
        <v>0.461</v>
      </c>
      <c r="K5"/>
      <c r="L5" s="9">
        <v>0.574</v>
      </c>
      <c r="M5" s="9">
        <v>0.302</v>
      </c>
      <c r="N5">
        <v>0.782</v>
      </c>
      <c r="O5">
        <v>0.375</v>
      </c>
      <c r="P5">
        <v>0.414</v>
      </c>
      <c r="Q5">
        <v>0.432</v>
      </c>
      <c r="R5" t="s">
        <v>555</v>
      </c>
    </row>
    <row r="6" spans="1:18" ht="12.75">
      <c r="A6" s="15" t="s">
        <v>540</v>
      </c>
      <c r="B6"/>
      <c r="C6"/>
      <c r="D6"/>
      <c r="E6">
        <v>0.467</v>
      </c>
      <c r="F6"/>
      <c r="G6"/>
      <c r="H6"/>
      <c r="I6"/>
      <c r="J6"/>
      <c r="K6"/>
      <c r="L6" s="9"/>
      <c r="M6" s="9"/>
      <c r="N6"/>
      <c r="O6"/>
      <c r="P6"/>
      <c r="Q6"/>
      <c r="R6"/>
    </row>
    <row r="7" spans="1:18" ht="12.75">
      <c r="A7" s="15" t="s">
        <v>541</v>
      </c>
      <c r="B7"/>
      <c r="C7">
        <v>2.498</v>
      </c>
      <c r="D7">
        <v>1.776</v>
      </c>
      <c r="E7"/>
      <c r="F7"/>
      <c r="G7"/>
      <c r="H7"/>
      <c r="I7">
        <v>2.635</v>
      </c>
      <c r="J7"/>
      <c r="K7">
        <v>1.476</v>
      </c>
      <c r="L7"/>
      <c r="M7"/>
      <c r="N7"/>
      <c r="O7"/>
      <c r="P7"/>
      <c r="Q7"/>
      <c r="R7"/>
    </row>
    <row r="8" spans="1:18" ht="12.75">
      <c r="A8" s="15" t="s">
        <v>542</v>
      </c>
      <c r="B8"/>
      <c r="C8">
        <v>1.589</v>
      </c>
      <c r="D8">
        <v>1.664</v>
      </c>
      <c r="E8"/>
      <c r="F8"/>
      <c r="G8"/>
      <c r="H8"/>
      <c r="I8">
        <v>2.512</v>
      </c>
      <c r="J8"/>
      <c r="K8">
        <v>1.506</v>
      </c>
      <c r="L8"/>
      <c r="M8"/>
      <c r="N8"/>
      <c r="O8"/>
      <c r="P8"/>
      <c r="Q8"/>
      <c r="R8"/>
    </row>
    <row r="9" spans="1:18" ht="12.75">
      <c r="A9" s="15" t="s">
        <v>4</v>
      </c>
      <c r="B9">
        <v>0.413</v>
      </c>
      <c r="C9"/>
      <c r="D9"/>
      <c r="E9"/>
      <c r="F9"/>
      <c r="G9">
        <v>0.576</v>
      </c>
      <c r="H9"/>
      <c r="I9"/>
      <c r="J9"/>
      <c r="K9"/>
      <c r="L9"/>
      <c r="M9"/>
      <c r="N9"/>
      <c r="O9"/>
      <c r="P9"/>
      <c r="Q9">
        <v>0.368</v>
      </c>
      <c r="R9">
        <v>0.368</v>
      </c>
    </row>
    <row r="10" spans="1:18" ht="12.75">
      <c r="A10" s="15" t="s">
        <v>5</v>
      </c>
      <c r="B10">
        <v>1.306</v>
      </c>
      <c r="C10"/>
      <c r="D10"/>
      <c r="E10"/>
      <c r="F10"/>
      <c r="G10">
        <v>0.616</v>
      </c>
      <c r="H10"/>
      <c r="I10"/>
      <c r="J10"/>
      <c r="K10"/>
      <c r="L10"/>
      <c r="M10"/>
      <c r="N10"/>
      <c r="O10"/>
      <c r="P10"/>
      <c r="Q10">
        <v>0.799</v>
      </c>
      <c r="R10"/>
    </row>
    <row r="11" spans="1:18" ht="12.75">
      <c r="A11" s="15" t="s">
        <v>6</v>
      </c>
      <c r="B11">
        <v>1.366</v>
      </c>
      <c r="C11"/>
      <c r="D11"/>
      <c r="E11"/>
      <c r="F11">
        <v>0.83</v>
      </c>
      <c r="G11">
        <v>0.496</v>
      </c>
      <c r="H11"/>
      <c r="I11"/>
      <c r="J11"/>
      <c r="K11"/>
      <c r="L11"/>
      <c r="M11"/>
      <c r="N11"/>
      <c r="O11"/>
      <c r="P11"/>
      <c r="Q11">
        <v>0.8</v>
      </c>
      <c r="R11"/>
    </row>
    <row r="15" spans="1:18" ht="11.25">
      <c r="A15" s="440" t="s">
        <v>147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5"/>
    </row>
    <row r="16" spans="1:20" ht="11.25">
      <c r="A16" s="16" t="s">
        <v>0</v>
      </c>
      <c r="B16" s="20">
        <v>38411</v>
      </c>
      <c r="C16" s="20">
        <v>38420</v>
      </c>
      <c r="D16" s="20">
        <v>38440</v>
      </c>
      <c r="E16" s="20">
        <v>38449</v>
      </c>
      <c r="F16" s="20">
        <v>38471</v>
      </c>
      <c r="G16" s="20">
        <v>38503</v>
      </c>
      <c r="H16" s="20">
        <v>38524</v>
      </c>
      <c r="I16" s="20">
        <v>38541</v>
      </c>
      <c r="J16" s="20">
        <v>38554</v>
      </c>
      <c r="K16" s="20">
        <v>38568</v>
      </c>
      <c r="L16" s="20">
        <v>38581</v>
      </c>
      <c r="M16" s="20">
        <v>38595</v>
      </c>
      <c r="N16" s="20">
        <v>38610</v>
      </c>
      <c r="O16" s="20">
        <v>38624</v>
      </c>
      <c r="P16" s="20">
        <v>38653</v>
      </c>
      <c r="Q16" s="20">
        <v>38686</v>
      </c>
      <c r="R16" s="20">
        <v>38708</v>
      </c>
      <c r="S16" s="30"/>
      <c r="T16" s="30"/>
    </row>
    <row r="17" spans="1:22" ht="11.25">
      <c r="A17" s="15" t="s">
        <v>1</v>
      </c>
      <c r="J17" s="43"/>
      <c r="V17" s="15" t="e">
        <f>AVERAGE(H17:P19)</f>
        <v>#DIV/0!</v>
      </c>
    </row>
    <row r="18" ht="11.25">
      <c r="A18" s="15" t="s">
        <v>2</v>
      </c>
    </row>
    <row r="19" ht="11.25">
      <c r="A19" s="15" t="s">
        <v>3</v>
      </c>
    </row>
    <row r="20" ht="11.25">
      <c r="A20" s="15" t="s">
        <v>7</v>
      </c>
    </row>
    <row r="21" ht="11.25">
      <c r="A21" s="15" t="s">
        <v>4</v>
      </c>
    </row>
    <row r="22" ht="11.25">
      <c r="A22" s="15" t="s">
        <v>5</v>
      </c>
    </row>
    <row r="23" ht="11.25">
      <c r="A23" s="15" t="s">
        <v>6</v>
      </c>
    </row>
    <row r="25" ht="11.25">
      <c r="Q25" s="15" t="s">
        <v>507</v>
      </c>
    </row>
    <row r="26" spans="16:17" ht="11.25">
      <c r="P26" s="15" t="s">
        <v>105</v>
      </c>
      <c r="Q26" s="43"/>
    </row>
    <row r="27" spans="16:17" ht="11.25">
      <c r="P27" s="15" t="s">
        <v>106</v>
      </c>
      <c r="Q27" s="43">
        <f>AVERAGE(B3:B5)</f>
        <v>0.4503333333333333</v>
      </c>
    </row>
    <row r="28" spans="16:17" ht="11.25">
      <c r="P28" s="15" t="s">
        <v>107</v>
      </c>
      <c r="Q28" s="43">
        <f>AVERAGE(D3:D5)</f>
        <v>0.49033333333333334</v>
      </c>
    </row>
    <row r="29" spans="16:17" ht="11.25">
      <c r="P29" s="15" t="s">
        <v>108</v>
      </c>
      <c r="Q29" s="43">
        <f>AVERAGE(E3:E5)</f>
        <v>0.4486666666666666</v>
      </c>
    </row>
    <row r="30" spans="16:17" ht="11.25">
      <c r="P30" s="15" t="s">
        <v>109</v>
      </c>
      <c r="Q30" s="43">
        <f>AVERAGE(G3:G5)</f>
        <v>0.622</v>
      </c>
    </row>
    <row r="31" spans="16:17" ht="11.25">
      <c r="P31" s="15" t="s">
        <v>110</v>
      </c>
      <c r="Q31" s="43">
        <f>AVERAGE(H3:H5)</f>
        <v>0.6386666666666667</v>
      </c>
    </row>
    <row r="32" spans="16:17" ht="11.25">
      <c r="P32" s="15" t="s">
        <v>111</v>
      </c>
      <c r="Q32" s="43">
        <f>AVERAGE(I3:J5)</f>
        <v>0.7033333333333333</v>
      </c>
    </row>
    <row r="33" spans="16:17" ht="11.25">
      <c r="P33" s="15" t="s">
        <v>112</v>
      </c>
      <c r="Q33" s="43">
        <f>AVERAGE(L3:M5)</f>
        <v>0.5015</v>
      </c>
    </row>
    <row r="34" spans="16:17" ht="11.25">
      <c r="P34" s="15" t="s">
        <v>113</v>
      </c>
      <c r="Q34" s="43">
        <f>AVERAGE(P3:P5)</f>
        <v>0.7313333333333333</v>
      </c>
    </row>
    <row r="35" spans="16:17" ht="11.25">
      <c r="P35" s="15" t="s">
        <v>114</v>
      </c>
      <c r="Q35" s="43">
        <f>AVERAGE(N4:O6)</f>
        <v>0.63475</v>
      </c>
    </row>
    <row r="36" spans="16:17" ht="11.25">
      <c r="P36" s="15" t="s">
        <v>115</v>
      </c>
      <c r="Q36" s="43">
        <f>AVERAGE(Q3:Q5)</f>
        <v>0.42533333333333334</v>
      </c>
    </row>
    <row r="37" spans="16:17" ht="11.25">
      <c r="P37" s="15" t="s">
        <v>116</v>
      </c>
      <c r="Q37" s="43"/>
    </row>
  </sheetData>
  <mergeCells count="2">
    <mergeCell ref="A15:Q15"/>
    <mergeCell ref="A1:Q1"/>
  </mergeCells>
  <printOptions/>
  <pageMargins left="0.25" right="0.25" top="1" bottom="1" header="0.5" footer="0.5"/>
  <pageSetup orientation="landscape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O11" sqref="O11:O14"/>
    </sheetView>
  </sheetViews>
  <sheetFormatPr defaultColWidth="9.140625" defaultRowHeight="12.75"/>
  <cols>
    <col min="1" max="1" width="29.8515625" style="15" bestFit="1" customWidth="1"/>
    <col min="2" max="7" width="7.8515625" style="15" bestFit="1" customWidth="1"/>
    <col min="8" max="10" width="7.8515625" style="15" hidden="1" customWidth="1"/>
    <col min="11" max="12" width="7.8515625" style="15" bestFit="1" customWidth="1"/>
    <col min="13" max="13" width="7.8515625" style="15" hidden="1" customWidth="1"/>
    <col min="14" max="16" width="7.8515625" style="15" bestFit="1" customWidth="1"/>
    <col min="17" max="17" width="11.28125" style="15" bestFit="1" customWidth="1"/>
    <col min="18" max="16384" width="9.140625" style="15" customWidth="1"/>
  </cols>
  <sheetData>
    <row r="1" spans="1:19" ht="11.25">
      <c r="A1" s="440" t="s">
        <v>145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5"/>
      <c r="S1" s="45"/>
    </row>
    <row r="2" spans="1:19" ht="12.75">
      <c r="A2" s="16" t="s">
        <v>0</v>
      </c>
      <c r="B2" s="1">
        <v>38378</v>
      </c>
      <c r="C2" s="1">
        <v>38411</v>
      </c>
      <c r="D2" s="1">
        <v>38420</v>
      </c>
      <c r="E2" s="1">
        <v>38440</v>
      </c>
      <c r="F2" s="1">
        <v>38503</v>
      </c>
      <c r="G2" s="1">
        <v>38524</v>
      </c>
      <c r="H2" s="1">
        <v>38541</v>
      </c>
      <c r="I2" s="1">
        <v>38554</v>
      </c>
      <c r="J2" s="1">
        <v>38568</v>
      </c>
      <c r="K2" s="1">
        <v>38581</v>
      </c>
      <c r="L2" s="1">
        <v>38595</v>
      </c>
      <c r="M2" s="1">
        <v>38610</v>
      </c>
      <c r="N2" s="1">
        <v>38624</v>
      </c>
      <c r="O2" s="1">
        <v>38653</v>
      </c>
      <c r="P2" s="1">
        <v>38686</v>
      </c>
      <c r="Q2" s="1">
        <v>38708</v>
      </c>
      <c r="R2" s="20"/>
      <c r="S2" s="20"/>
    </row>
    <row r="3" spans="1:17" ht="12.75">
      <c r="A3" s="15" t="s">
        <v>1</v>
      </c>
      <c r="B3"/>
      <c r="C3">
        <v>11.52</v>
      </c>
      <c r="D3"/>
      <c r="E3">
        <v>11.32</v>
      </c>
      <c r="F3">
        <v>7.15</v>
      </c>
      <c r="G3">
        <v>5.68</v>
      </c>
      <c r="H3">
        <v>3.92</v>
      </c>
      <c r="I3">
        <v>4.51</v>
      </c>
      <c r="J3"/>
      <c r="K3">
        <v>8.22</v>
      </c>
      <c r="L3">
        <v>6.98</v>
      </c>
      <c r="M3">
        <v>7.9</v>
      </c>
      <c r="N3">
        <v>8.19</v>
      </c>
      <c r="O3">
        <v>10.83</v>
      </c>
      <c r="P3">
        <v>13.61</v>
      </c>
      <c r="Q3" s="14" t="s">
        <v>575</v>
      </c>
    </row>
    <row r="4" spans="1:17" ht="12.75">
      <c r="A4" s="15" t="s">
        <v>2</v>
      </c>
      <c r="B4"/>
      <c r="C4">
        <v>11.51</v>
      </c>
      <c r="D4"/>
      <c r="E4">
        <v>11.33</v>
      </c>
      <c r="F4">
        <v>8.37</v>
      </c>
      <c r="G4">
        <v>5.68</v>
      </c>
      <c r="H4">
        <v>4.71</v>
      </c>
      <c r="I4">
        <v>6.35</v>
      </c>
      <c r="J4"/>
      <c r="K4">
        <v>8.17</v>
      </c>
      <c r="L4">
        <v>8.35</v>
      </c>
      <c r="M4">
        <v>8.02</v>
      </c>
      <c r="N4">
        <v>7.17</v>
      </c>
      <c r="O4">
        <v>10.39</v>
      </c>
      <c r="P4">
        <v>13.72</v>
      </c>
      <c r="Q4" s="14" t="s">
        <v>575</v>
      </c>
    </row>
    <row r="5" spans="1:17" ht="12.75">
      <c r="A5" s="15" t="s">
        <v>3</v>
      </c>
      <c r="B5"/>
      <c r="C5">
        <v>11.49</v>
      </c>
      <c r="D5"/>
      <c r="E5">
        <v>11.34</v>
      </c>
      <c r="F5">
        <v>9.01</v>
      </c>
      <c r="G5">
        <v>8.42</v>
      </c>
      <c r="H5">
        <v>7.63</v>
      </c>
      <c r="I5">
        <v>8.75</v>
      </c>
      <c r="J5"/>
      <c r="K5">
        <v>8.27</v>
      </c>
      <c r="L5">
        <v>8.57</v>
      </c>
      <c r="M5">
        <v>8.07</v>
      </c>
      <c r="N5">
        <v>8.05</v>
      </c>
      <c r="O5">
        <v>10.48</v>
      </c>
      <c r="P5">
        <v>13.64</v>
      </c>
      <c r="Q5" s="14" t="s">
        <v>575</v>
      </c>
    </row>
    <row r="6" spans="1:17" ht="12.75">
      <c r="A6" s="15" t="s">
        <v>541</v>
      </c>
      <c r="B6">
        <v>14.31</v>
      </c>
      <c r="C6"/>
      <c r="D6">
        <v>13.77</v>
      </c>
      <c r="E6">
        <v>12.18</v>
      </c>
      <c r="F6">
        <v>8.48</v>
      </c>
      <c r="G6"/>
      <c r="H6">
        <v>8.28</v>
      </c>
      <c r="I6"/>
      <c r="J6" s="11">
        <v>8.92</v>
      </c>
      <c r="K6"/>
      <c r="L6"/>
      <c r="M6"/>
      <c r="N6"/>
      <c r="O6"/>
      <c r="P6"/>
      <c r="Q6"/>
    </row>
    <row r="7" spans="1:17" ht="12.75">
      <c r="A7" s="15" t="s">
        <v>542</v>
      </c>
      <c r="B7"/>
      <c r="C7"/>
      <c r="D7">
        <v>14.92</v>
      </c>
      <c r="E7">
        <v>11.38</v>
      </c>
      <c r="F7"/>
      <c r="G7"/>
      <c r="H7">
        <v>10.23</v>
      </c>
      <c r="I7"/>
      <c r="J7" s="11">
        <v>9.1</v>
      </c>
      <c r="K7"/>
      <c r="L7"/>
      <c r="M7"/>
      <c r="N7"/>
      <c r="O7"/>
      <c r="P7"/>
      <c r="Q7"/>
    </row>
    <row r="8" spans="1:17" ht="12.75">
      <c r="A8" s="15" t="s">
        <v>4</v>
      </c>
      <c r="B8">
        <v>11.89</v>
      </c>
      <c r="C8">
        <v>1.41</v>
      </c>
      <c r="D8"/>
      <c r="E8">
        <v>10.76</v>
      </c>
      <c r="F8">
        <v>8.46</v>
      </c>
      <c r="G8">
        <v>8.44</v>
      </c>
      <c r="H8">
        <v>8.25</v>
      </c>
      <c r="I8">
        <v>9.04</v>
      </c>
      <c r="J8"/>
      <c r="K8">
        <v>8.26</v>
      </c>
      <c r="L8">
        <v>6.71</v>
      </c>
      <c r="M8">
        <v>10.28</v>
      </c>
      <c r="N8">
        <v>6.99</v>
      </c>
      <c r="O8">
        <v>8.96</v>
      </c>
      <c r="P8">
        <v>13.51</v>
      </c>
      <c r="Q8">
        <v>14.65</v>
      </c>
    </row>
    <row r="9" spans="1:17" ht="12.75">
      <c r="A9" s="15" t="s">
        <v>5</v>
      </c>
      <c r="B9">
        <v>13.02</v>
      </c>
      <c r="C9">
        <v>1.1</v>
      </c>
      <c r="D9"/>
      <c r="E9">
        <v>11.11</v>
      </c>
      <c r="F9">
        <v>6.72</v>
      </c>
      <c r="G9">
        <v>7.81</v>
      </c>
      <c r="H9">
        <v>7.64</v>
      </c>
      <c r="I9" s="195" t="s">
        <v>556</v>
      </c>
      <c r="J9"/>
      <c r="K9">
        <v>8.84</v>
      </c>
      <c r="L9" s="195" t="s">
        <v>556</v>
      </c>
      <c r="M9">
        <v>13.86</v>
      </c>
      <c r="N9" s="195" t="s">
        <v>556</v>
      </c>
      <c r="O9">
        <v>9.81</v>
      </c>
      <c r="P9">
        <v>13.76</v>
      </c>
      <c r="Q9">
        <v>13.81</v>
      </c>
    </row>
    <row r="10" spans="1:17" ht="12.75">
      <c r="A10" s="15" t="s">
        <v>6</v>
      </c>
      <c r="B10">
        <v>15.33</v>
      </c>
      <c r="C10">
        <v>1.42</v>
      </c>
      <c r="D10"/>
      <c r="E10">
        <v>11.82</v>
      </c>
      <c r="F10">
        <v>9.03</v>
      </c>
      <c r="G10">
        <v>9.97</v>
      </c>
      <c r="H10">
        <v>9.65</v>
      </c>
      <c r="I10">
        <v>9.97</v>
      </c>
      <c r="J10"/>
      <c r="K10">
        <v>10.76</v>
      </c>
      <c r="L10">
        <v>9.71</v>
      </c>
      <c r="M10">
        <v>10.19</v>
      </c>
      <c r="N10">
        <v>7.15</v>
      </c>
      <c r="O10">
        <v>13.08</v>
      </c>
      <c r="P10">
        <v>14.65</v>
      </c>
      <c r="Q10">
        <v>15.93</v>
      </c>
    </row>
    <row r="11" spans="1:17" ht="12.75">
      <c r="A11" s="15" t="s">
        <v>549</v>
      </c>
      <c r="B11"/>
      <c r="C11"/>
      <c r="D11"/>
      <c r="E11"/>
      <c r="F11"/>
      <c r="G11"/>
      <c r="H11"/>
      <c r="I11"/>
      <c r="J11"/>
      <c r="K11"/>
      <c r="L11"/>
      <c r="M11"/>
      <c r="N11"/>
      <c r="O11">
        <v>11.98</v>
      </c>
      <c r="P11"/>
      <c r="Q11"/>
    </row>
    <row r="12" spans="1:17" ht="12.75">
      <c r="A12" s="15" t="s">
        <v>550</v>
      </c>
      <c r="B12"/>
      <c r="C12"/>
      <c r="D12"/>
      <c r="E12"/>
      <c r="F12"/>
      <c r="G12"/>
      <c r="H12"/>
      <c r="I12"/>
      <c r="J12"/>
      <c r="K12"/>
      <c r="L12"/>
      <c r="M12"/>
      <c r="N12"/>
      <c r="O12">
        <v>12.31</v>
      </c>
      <c r="P12"/>
      <c r="Q12"/>
    </row>
    <row r="13" spans="1:17" ht="12.75">
      <c r="A13" s="15" t="s">
        <v>551</v>
      </c>
      <c r="B13"/>
      <c r="C13"/>
      <c r="D13"/>
      <c r="E13"/>
      <c r="F13"/>
      <c r="G13"/>
      <c r="H13"/>
      <c r="I13"/>
      <c r="J13"/>
      <c r="K13"/>
      <c r="L13"/>
      <c r="M13"/>
      <c r="N13"/>
      <c r="O13">
        <v>8.52</v>
      </c>
      <c r="P13"/>
      <c r="Q13"/>
    </row>
    <row r="14" spans="1:18" ht="12.75">
      <c r="A14" s="15" t="s">
        <v>552</v>
      </c>
      <c r="B14"/>
      <c r="C14"/>
      <c r="D14"/>
      <c r="E14"/>
      <c r="F14"/>
      <c r="G14"/>
      <c r="H14"/>
      <c r="I14"/>
      <c r="J14"/>
      <c r="K14"/>
      <c r="L14"/>
      <c r="M14"/>
      <c r="N14"/>
      <c r="O14">
        <v>12.11</v>
      </c>
      <c r="P14"/>
      <c r="Q14"/>
      <c r="R14" s="15" t="s">
        <v>576</v>
      </c>
    </row>
    <row r="15" ht="11.25">
      <c r="Q15" s="15" t="s">
        <v>105</v>
      </c>
    </row>
    <row r="16" ht="11.25">
      <c r="Q16" s="15" t="s">
        <v>106</v>
      </c>
    </row>
    <row r="17" ht="11.25">
      <c r="Q17" s="15" t="s">
        <v>107</v>
      </c>
    </row>
    <row r="18" ht="11.25">
      <c r="Q18" s="15" t="s">
        <v>108</v>
      </c>
    </row>
    <row r="19" ht="11.25">
      <c r="Q19" s="15" t="s">
        <v>109</v>
      </c>
    </row>
    <row r="20" ht="11.25">
      <c r="Q20" s="15" t="s">
        <v>110</v>
      </c>
    </row>
    <row r="21" ht="11.25">
      <c r="Q21" s="15" t="s">
        <v>111</v>
      </c>
    </row>
    <row r="22" ht="11.25">
      <c r="Q22" s="15" t="s">
        <v>112</v>
      </c>
    </row>
    <row r="23" ht="11.25">
      <c r="Q23" s="15" t="s">
        <v>113</v>
      </c>
    </row>
    <row r="24" ht="11.25">
      <c r="Q24" s="15" t="s">
        <v>114</v>
      </c>
    </row>
    <row r="25" ht="11.25">
      <c r="Q25" s="15" t="s">
        <v>115</v>
      </c>
    </row>
    <row r="26" ht="11.25">
      <c r="Q26" s="15" t="s">
        <v>116</v>
      </c>
    </row>
  </sheetData>
  <mergeCells count="1">
    <mergeCell ref="A1:Q1"/>
  </mergeCells>
  <printOptions/>
  <pageMargins left="0.5" right="0.5" top="1" bottom="1" header="0.5" footer="0.5"/>
  <pageSetup orientation="landscape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S13"/>
  <sheetViews>
    <sheetView workbookViewId="0" topLeftCell="A1">
      <selection activeCell="O11" sqref="O11:O13"/>
    </sheetView>
  </sheetViews>
  <sheetFormatPr defaultColWidth="9.140625" defaultRowHeight="12.75"/>
  <cols>
    <col min="1" max="1" width="29.8515625" style="15" bestFit="1" customWidth="1"/>
    <col min="2" max="2" width="6.00390625" style="15" bestFit="1" customWidth="1"/>
    <col min="3" max="3" width="6.140625" style="15" bestFit="1" customWidth="1"/>
    <col min="4" max="4" width="6.28125" style="15" bestFit="1" customWidth="1"/>
    <col min="5" max="5" width="6.140625" style="15" bestFit="1" customWidth="1"/>
    <col min="6" max="6" width="6.421875" style="15" bestFit="1" customWidth="1"/>
    <col min="7" max="9" width="6.140625" style="15" bestFit="1" customWidth="1"/>
    <col min="10" max="10" width="5.57421875" style="15" bestFit="1" customWidth="1"/>
    <col min="11" max="11" width="6.140625" style="15" bestFit="1" customWidth="1"/>
    <col min="12" max="14" width="6.421875" style="15" bestFit="1" customWidth="1"/>
    <col min="15" max="16" width="7.00390625" style="15" bestFit="1" customWidth="1"/>
    <col min="17" max="17" width="13.421875" style="15" bestFit="1" customWidth="1"/>
    <col min="18" max="18" width="6.140625" style="15" bestFit="1" customWidth="1"/>
    <col min="19" max="16384" width="9.140625" style="15" customWidth="1"/>
  </cols>
  <sheetData>
    <row r="1" spans="1:19" ht="11.25">
      <c r="A1" s="440" t="s">
        <v>154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5"/>
      <c r="S1" s="45"/>
    </row>
    <row r="2" spans="1:19" ht="12.75">
      <c r="A2" s="2" t="s">
        <v>0</v>
      </c>
      <c r="B2" s="20">
        <v>38378</v>
      </c>
      <c r="C2" s="20">
        <v>38411</v>
      </c>
      <c r="D2" s="20">
        <v>38420</v>
      </c>
      <c r="E2" s="20">
        <v>38440</v>
      </c>
      <c r="F2" s="20">
        <v>38449</v>
      </c>
      <c r="G2" s="20">
        <v>38503</v>
      </c>
      <c r="H2" s="20">
        <v>38524</v>
      </c>
      <c r="I2" s="20">
        <v>38554</v>
      </c>
      <c r="J2" s="20">
        <v>38568</v>
      </c>
      <c r="K2" s="20">
        <v>38581</v>
      </c>
      <c r="L2" s="20">
        <v>38595</v>
      </c>
      <c r="M2" s="20">
        <v>38610</v>
      </c>
      <c r="N2" s="20">
        <v>38624</v>
      </c>
      <c r="O2" s="20">
        <v>38653</v>
      </c>
      <c r="P2" s="20">
        <v>38686</v>
      </c>
      <c r="Q2" s="20">
        <v>38708</v>
      </c>
      <c r="R2" s="30"/>
      <c r="S2" s="49"/>
    </row>
    <row r="3" spans="1:19" ht="12.75">
      <c r="A3" t="s">
        <v>1</v>
      </c>
      <c r="B3" s="11"/>
      <c r="C3" s="11">
        <v>7.99</v>
      </c>
      <c r="D3" s="11"/>
      <c r="E3" s="11">
        <v>8.17</v>
      </c>
      <c r="F3">
        <v>7.94</v>
      </c>
      <c r="G3" s="11">
        <v>6.76</v>
      </c>
      <c r="H3">
        <v>6.91</v>
      </c>
      <c r="I3">
        <v>6.08</v>
      </c>
      <c r="J3"/>
      <c r="K3" s="11">
        <v>7.54</v>
      </c>
      <c r="L3">
        <v>7.08</v>
      </c>
      <c r="M3">
        <v>7.34</v>
      </c>
      <c r="N3">
        <v>7.13</v>
      </c>
      <c r="O3">
        <v>7.68</v>
      </c>
      <c r="P3">
        <v>7.75</v>
      </c>
      <c r="Q3" t="s">
        <v>577</v>
      </c>
      <c r="S3" s="38"/>
    </row>
    <row r="4" spans="1:19" ht="12.75">
      <c r="A4" t="s">
        <v>2</v>
      </c>
      <c r="B4" s="11"/>
      <c r="C4" s="11">
        <v>8.31</v>
      </c>
      <c r="D4" s="11"/>
      <c r="E4" s="11">
        <v>8.32</v>
      </c>
      <c r="F4">
        <v>8.31</v>
      </c>
      <c r="G4" s="11">
        <v>7.25</v>
      </c>
      <c r="H4">
        <v>7.37</v>
      </c>
      <c r="I4">
        <v>6.65</v>
      </c>
      <c r="J4"/>
      <c r="K4" s="11">
        <v>7.7</v>
      </c>
      <c r="L4">
        <v>7.55</v>
      </c>
      <c r="M4">
        <v>7.54</v>
      </c>
      <c r="N4">
        <v>7.51</v>
      </c>
      <c r="O4">
        <v>7.74</v>
      </c>
      <c r="P4">
        <v>8.05</v>
      </c>
      <c r="Q4" t="s">
        <v>577</v>
      </c>
      <c r="S4" s="38"/>
    </row>
    <row r="5" spans="1:19" ht="12.75">
      <c r="A5" t="s">
        <v>3</v>
      </c>
      <c r="B5" s="11"/>
      <c r="C5" s="11">
        <v>8.4</v>
      </c>
      <c r="D5" s="11"/>
      <c r="E5" s="11">
        <v>8.39</v>
      </c>
      <c r="F5">
        <v>8.39</v>
      </c>
      <c r="G5" s="11">
        <v>7.47</v>
      </c>
      <c r="H5">
        <v>7.46</v>
      </c>
      <c r="I5">
        <v>7.52</v>
      </c>
      <c r="J5"/>
      <c r="K5" s="11">
        <v>7.7</v>
      </c>
      <c r="L5">
        <v>7.67</v>
      </c>
      <c r="M5">
        <v>7.58</v>
      </c>
      <c r="N5">
        <v>7.48</v>
      </c>
      <c r="O5">
        <v>7.82</v>
      </c>
      <c r="P5">
        <v>8.26</v>
      </c>
      <c r="Q5" t="s">
        <v>577</v>
      </c>
      <c r="S5" s="38"/>
    </row>
    <row r="6" spans="1:19" ht="12.75">
      <c r="A6" t="s">
        <v>541</v>
      </c>
      <c r="B6" s="11">
        <v>6.3</v>
      </c>
      <c r="C6" s="11"/>
      <c r="D6" s="11">
        <v>7.9</v>
      </c>
      <c r="E6" s="11">
        <v>7.57</v>
      </c>
      <c r="F6"/>
      <c r="G6" s="11">
        <v>8.04</v>
      </c>
      <c r="H6"/>
      <c r="I6"/>
      <c r="J6">
        <v>7.34</v>
      </c>
      <c r="K6" s="11"/>
      <c r="L6"/>
      <c r="M6"/>
      <c r="N6"/>
      <c r="O6"/>
      <c r="P6"/>
      <c r="Q6"/>
      <c r="S6" s="38"/>
    </row>
    <row r="7" spans="1:19" ht="12.75">
      <c r="A7" t="s">
        <v>542</v>
      </c>
      <c r="B7" s="11"/>
      <c r="C7" s="11"/>
      <c r="D7" s="11">
        <v>6.09</v>
      </c>
      <c r="E7" s="11">
        <v>8.23</v>
      </c>
      <c r="F7"/>
      <c r="G7" s="11"/>
      <c r="H7"/>
      <c r="I7"/>
      <c r="J7">
        <v>7.45</v>
      </c>
      <c r="K7" s="11"/>
      <c r="L7"/>
      <c r="M7"/>
      <c r="N7"/>
      <c r="O7"/>
      <c r="P7"/>
      <c r="Q7"/>
      <c r="S7" s="38"/>
    </row>
    <row r="8" spans="1:19" ht="12.75">
      <c r="A8" t="s">
        <v>4</v>
      </c>
      <c r="B8" s="11">
        <v>7.3</v>
      </c>
      <c r="C8" s="11">
        <v>7.91</v>
      </c>
      <c r="D8" s="11"/>
      <c r="E8" s="11">
        <v>8.19</v>
      </c>
      <c r="F8">
        <v>8.42</v>
      </c>
      <c r="G8" s="11">
        <v>7.47</v>
      </c>
      <c r="H8">
        <v>7.47</v>
      </c>
      <c r="I8">
        <v>7.01</v>
      </c>
      <c r="J8"/>
      <c r="K8" s="11">
        <v>7.35</v>
      </c>
      <c r="L8">
        <v>7.04</v>
      </c>
      <c r="M8">
        <v>7.29</v>
      </c>
      <c r="N8">
        <v>7.09</v>
      </c>
      <c r="O8">
        <v>8.07</v>
      </c>
      <c r="P8">
        <v>7.46</v>
      </c>
      <c r="Q8">
        <v>7.17</v>
      </c>
      <c r="S8" s="38"/>
    </row>
    <row r="9" spans="1:19" ht="12.75">
      <c r="A9" t="s">
        <v>5</v>
      </c>
      <c r="B9" s="11">
        <v>7.24</v>
      </c>
      <c r="C9" s="11">
        <v>8</v>
      </c>
      <c r="D9" s="11"/>
      <c r="E9" s="11">
        <v>8.21</v>
      </c>
      <c r="F9">
        <v>8.21</v>
      </c>
      <c r="G9" s="11">
        <v>7.7</v>
      </c>
      <c r="H9">
        <v>7.49</v>
      </c>
      <c r="I9" s="195" t="s">
        <v>556</v>
      </c>
      <c r="J9"/>
      <c r="K9" s="11">
        <v>7.66</v>
      </c>
      <c r="L9" s="195" t="s">
        <v>556</v>
      </c>
      <c r="M9">
        <v>6.73</v>
      </c>
      <c r="N9" s="195" t="s">
        <v>556</v>
      </c>
      <c r="O9">
        <v>7.22</v>
      </c>
      <c r="P9">
        <v>7.98</v>
      </c>
      <c r="Q9">
        <v>7.46</v>
      </c>
      <c r="S9" s="38"/>
    </row>
    <row r="10" spans="1:17" ht="12.75">
      <c r="A10" t="s">
        <v>6</v>
      </c>
      <c r="B10" s="11">
        <v>7.4</v>
      </c>
      <c r="C10" s="11">
        <v>8.2</v>
      </c>
      <c r="D10" s="11"/>
      <c r="E10" s="11">
        <v>8.21</v>
      </c>
      <c r="F10">
        <v>8.56</v>
      </c>
      <c r="G10" s="11">
        <v>8.27</v>
      </c>
      <c r="H10">
        <v>7.71</v>
      </c>
      <c r="I10">
        <v>7.16</v>
      </c>
      <c r="J10"/>
      <c r="K10">
        <v>7.74</v>
      </c>
      <c r="L10">
        <v>6.71</v>
      </c>
      <c r="M10">
        <v>7.34</v>
      </c>
      <c r="N10">
        <v>6.32</v>
      </c>
      <c r="O10">
        <v>7.93</v>
      </c>
      <c r="P10">
        <v>8.09</v>
      </c>
      <c r="Q10">
        <v>7.37</v>
      </c>
    </row>
    <row r="11" spans="1:17" ht="12.75">
      <c r="A11" t="s">
        <v>549</v>
      </c>
      <c r="B11"/>
      <c r="C11"/>
      <c r="D11"/>
      <c r="E11"/>
      <c r="F11"/>
      <c r="G11"/>
      <c r="H11"/>
      <c r="I11"/>
      <c r="J11"/>
      <c r="K11"/>
      <c r="L11"/>
      <c r="M11"/>
      <c r="N11"/>
      <c r="O11">
        <v>7.41</v>
      </c>
      <c r="P11"/>
      <c r="Q11"/>
    </row>
    <row r="12" spans="1:17" ht="12.75">
      <c r="A12" t="s">
        <v>550</v>
      </c>
      <c r="B12"/>
      <c r="C12"/>
      <c r="D12"/>
      <c r="E12"/>
      <c r="F12"/>
      <c r="G12"/>
      <c r="H12"/>
      <c r="I12"/>
      <c r="J12"/>
      <c r="K12"/>
      <c r="L12"/>
      <c r="M12"/>
      <c r="N12"/>
      <c r="O12">
        <v>8.07</v>
      </c>
      <c r="P12"/>
      <c r="Q12"/>
    </row>
    <row r="13" spans="1:17" ht="12.75">
      <c r="A13" t="s">
        <v>551</v>
      </c>
      <c r="B13"/>
      <c r="C13"/>
      <c r="D13"/>
      <c r="E13"/>
      <c r="F13"/>
      <c r="G13"/>
      <c r="H13"/>
      <c r="I13"/>
      <c r="J13"/>
      <c r="K13"/>
      <c r="L13"/>
      <c r="M13"/>
      <c r="N13"/>
      <c r="O13">
        <v>7.64</v>
      </c>
      <c r="P13"/>
      <c r="Q13"/>
    </row>
  </sheetData>
  <mergeCells count="1">
    <mergeCell ref="A1:Q1"/>
  </mergeCells>
  <printOptions/>
  <pageMargins left="0.75" right="0.75" top="1" bottom="1" header="0.5" footer="0.5"/>
  <pageSetup orientation="landscape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W23"/>
  <sheetViews>
    <sheetView workbookViewId="0" topLeftCell="A1">
      <selection activeCell="G16" sqref="G16"/>
    </sheetView>
  </sheetViews>
  <sheetFormatPr defaultColWidth="9.140625" defaultRowHeight="12.75"/>
  <cols>
    <col min="1" max="1" width="29.8515625" style="15" bestFit="1" customWidth="1"/>
    <col min="2" max="4" width="6.140625" style="15" bestFit="1" customWidth="1"/>
    <col min="5" max="5" width="5.421875" style="15" bestFit="1" customWidth="1"/>
    <col min="6" max="8" width="6.140625" style="15" bestFit="1" customWidth="1"/>
    <col min="9" max="9" width="5.421875" style="15" bestFit="1" customWidth="1"/>
    <col min="10" max="14" width="6.140625" style="15" bestFit="1" customWidth="1"/>
    <col min="15" max="17" width="7.00390625" style="15" bestFit="1" customWidth="1"/>
    <col min="18" max="18" width="5.28125" style="15" bestFit="1" customWidth="1"/>
    <col min="19" max="19" width="8.421875" style="15" bestFit="1" customWidth="1"/>
    <col min="20" max="20" width="6.140625" style="15" bestFit="1" customWidth="1"/>
    <col min="21" max="16384" width="9.140625" style="15" customWidth="1"/>
  </cols>
  <sheetData>
    <row r="1" spans="1:20" ht="11.25">
      <c r="A1" s="440" t="s">
        <v>143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5"/>
      <c r="S1" s="45"/>
      <c r="T1" s="45"/>
    </row>
    <row r="2" spans="1:20" ht="11.25">
      <c r="A2" s="16" t="s">
        <v>0</v>
      </c>
      <c r="B2" s="20">
        <v>38378</v>
      </c>
      <c r="C2" s="20">
        <v>38411</v>
      </c>
      <c r="D2" s="20">
        <v>38440</v>
      </c>
      <c r="E2" s="20">
        <v>38449</v>
      </c>
      <c r="F2" s="20">
        <v>38471</v>
      </c>
      <c r="G2" s="20">
        <v>38503</v>
      </c>
      <c r="H2" s="20">
        <v>38524</v>
      </c>
      <c r="I2" s="20">
        <v>38541</v>
      </c>
      <c r="J2" s="20">
        <v>38554</v>
      </c>
      <c r="K2" s="20">
        <v>38581</v>
      </c>
      <c r="L2" s="20">
        <v>38595</v>
      </c>
      <c r="M2" s="20">
        <v>38610</v>
      </c>
      <c r="N2" s="20">
        <v>38624</v>
      </c>
      <c r="O2" s="20">
        <v>38653</v>
      </c>
      <c r="P2" s="20">
        <v>38686</v>
      </c>
      <c r="Q2" s="20">
        <v>38708</v>
      </c>
      <c r="R2" s="46"/>
      <c r="S2" s="30"/>
      <c r="T2" s="30"/>
    </row>
    <row r="3" spans="1:17" ht="12.75">
      <c r="A3" s="15" t="s">
        <v>1</v>
      </c>
      <c r="B3"/>
      <c r="C3">
        <v>0.004</v>
      </c>
      <c r="D3">
        <v>0.003</v>
      </c>
      <c r="E3">
        <v>0.005</v>
      </c>
      <c r="F3"/>
      <c r="G3">
        <v>0.025</v>
      </c>
      <c r="H3">
        <v>0.02</v>
      </c>
      <c r="I3">
        <v>0.007</v>
      </c>
      <c r="J3">
        <v>0.017</v>
      </c>
      <c r="K3">
        <v>0.011</v>
      </c>
      <c r="L3">
        <v>0.009</v>
      </c>
      <c r="M3">
        <v>0.003</v>
      </c>
      <c r="N3">
        <v>0.006</v>
      </c>
      <c r="O3">
        <v>0</v>
      </c>
      <c r="P3">
        <v>0.005</v>
      </c>
      <c r="Q3" t="s">
        <v>555</v>
      </c>
    </row>
    <row r="4" spans="1:17" ht="12.75">
      <c r="A4" s="15" t="s">
        <v>2</v>
      </c>
      <c r="B4"/>
      <c r="C4">
        <v>0</v>
      </c>
      <c r="D4">
        <v>0.004</v>
      </c>
      <c r="E4">
        <v>0.009</v>
      </c>
      <c r="F4"/>
      <c r="G4">
        <v>0.008</v>
      </c>
      <c r="H4">
        <v>0.005</v>
      </c>
      <c r="I4">
        <v>0.007</v>
      </c>
      <c r="J4">
        <v>0.005</v>
      </c>
      <c r="K4">
        <v>0.005</v>
      </c>
      <c r="L4">
        <v>0.008</v>
      </c>
      <c r="M4">
        <v>0.005</v>
      </c>
      <c r="N4">
        <v>0.006</v>
      </c>
      <c r="O4">
        <v>0.004</v>
      </c>
      <c r="P4">
        <v>0.005</v>
      </c>
      <c r="Q4" t="s">
        <v>555</v>
      </c>
    </row>
    <row r="5" spans="1:17" ht="12.75">
      <c r="A5" s="15" t="s">
        <v>3</v>
      </c>
      <c r="B5"/>
      <c r="C5">
        <v>0</v>
      </c>
      <c r="D5">
        <v>0.004</v>
      </c>
      <c r="E5">
        <v>0.005</v>
      </c>
      <c r="F5"/>
      <c r="G5">
        <v>0.005</v>
      </c>
      <c r="H5">
        <v>0.006</v>
      </c>
      <c r="I5">
        <v>0.004</v>
      </c>
      <c r="J5">
        <v>0.004</v>
      </c>
      <c r="K5">
        <v>0.005</v>
      </c>
      <c r="L5">
        <v>0.008</v>
      </c>
      <c r="M5">
        <v>0.004</v>
      </c>
      <c r="N5">
        <v>0.006</v>
      </c>
      <c r="O5">
        <v>0.003</v>
      </c>
      <c r="P5">
        <v>0.006</v>
      </c>
      <c r="Q5" t="s">
        <v>555</v>
      </c>
    </row>
    <row r="6" spans="1:17" ht="12.75">
      <c r="A6" s="15" t="s">
        <v>578</v>
      </c>
      <c r="B6">
        <v>0.016</v>
      </c>
      <c r="C6"/>
      <c r="D6">
        <v>0.003</v>
      </c>
      <c r="E6"/>
      <c r="F6"/>
      <c r="G6">
        <v>0.083</v>
      </c>
      <c r="H6"/>
      <c r="I6">
        <v>0.016</v>
      </c>
      <c r="J6"/>
      <c r="K6"/>
      <c r="L6">
        <v>0.01</v>
      </c>
      <c r="M6"/>
      <c r="N6"/>
      <c r="O6"/>
      <c r="P6"/>
      <c r="Q6"/>
    </row>
    <row r="7" spans="1:17" ht="12.75">
      <c r="A7" s="15" t="s">
        <v>4</v>
      </c>
      <c r="B7">
        <v>0.003</v>
      </c>
      <c r="C7">
        <v>0</v>
      </c>
      <c r="D7">
        <v>0.003</v>
      </c>
      <c r="E7">
        <v>0.006</v>
      </c>
      <c r="F7"/>
      <c r="G7">
        <v>0.009</v>
      </c>
      <c r="H7">
        <v>0.007</v>
      </c>
      <c r="I7">
        <v>0.008</v>
      </c>
      <c r="J7">
        <v>0.015</v>
      </c>
      <c r="K7">
        <v>0.008</v>
      </c>
      <c r="L7">
        <v>0.009</v>
      </c>
      <c r="M7">
        <v>0.004</v>
      </c>
      <c r="N7">
        <v>0.004</v>
      </c>
      <c r="O7">
        <v>0</v>
      </c>
      <c r="P7">
        <v>0.005</v>
      </c>
      <c r="Q7">
        <v>0.005</v>
      </c>
    </row>
    <row r="8" spans="1:17" ht="12.75">
      <c r="A8" s="15" t="s">
        <v>5</v>
      </c>
      <c r="B8">
        <v>0.081</v>
      </c>
      <c r="C8">
        <v>0.03</v>
      </c>
      <c r="D8">
        <v>0.033</v>
      </c>
      <c r="E8">
        <v>0.029</v>
      </c>
      <c r="F8"/>
      <c r="G8">
        <v>0.026</v>
      </c>
      <c r="H8">
        <v>0.034</v>
      </c>
      <c r="I8">
        <v>0.029</v>
      </c>
      <c r="J8" s="195" t="s">
        <v>556</v>
      </c>
      <c r="K8">
        <v>0.058</v>
      </c>
      <c r="L8" s="195" t="s">
        <v>556</v>
      </c>
      <c r="M8">
        <v>0.041</v>
      </c>
      <c r="N8" s="195" t="s">
        <v>556</v>
      </c>
      <c r="O8">
        <v>0.023</v>
      </c>
      <c r="P8">
        <v>0.019</v>
      </c>
      <c r="Q8">
        <v>0.017</v>
      </c>
    </row>
    <row r="9" spans="1:17" ht="12.75">
      <c r="A9" s="15" t="s">
        <v>6</v>
      </c>
      <c r="B9">
        <v>0.007</v>
      </c>
      <c r="C9">
        <v>0.025</v>
      </c>
      <c r="D9">
        <v>0.009</v>
      </c>
      <c r="E9">
        <v>0.019</v>
      </c>
      <c r="F9">
        <v>0.014</v>
      </c>
      <c r="G9">
        <v>0.006</v>
      </c>
      <c r="H9">
        <v>0.007</v>
      </c>
      <c r="I9">
        <v>0.004</v>
      </c>
      <c r="J9">
        <v>0.008</v>
      </c>
      <c r="K9">
        <v>0.013</v>
      </c>
      <c r="L9">
        <v>0.012</v>
      </c>
      <c r="M9">
        <v>0.007</v>
      </c>
      <c r="N9">
        <v>0.03</v>
      </c>
      <c r="O9">
        <v>0.003</v>
      </c>
      <c r="P9">
        <v>0.007</v>
      </c>
      <c r="Q9">
        <v>0.008</v>
      </c>
    </row>
    <row r="10" spans="1:18" ht="11.25">
      <c r="A10" s="440" t="s">
        <v>144</v>
      </c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5"/>
    </row>
    <row r="11" spans="1:20" ht="11.25">
      <c r="A11" s="16" t="s">
        <v>0</v>
      </c>
      <c r="B11" s="20">
        <v>38378</v>
      </c>
      <c r="C11" s="20">
        <v>38411</v>
      </c>
      <c r="D11" s="20">
        <v>38440</v>
      </c>
      <c r="E11" s="20">
        <v>38449</v>
      </c>
      <c r="F11" s="20">
        <v>38471</v>
      </c>
      <c r="G11" s="20">
        <v>38503</v>
      </c>
      <c r="H11" s="20">
        <v>38524</v>
      </c>
      <c r="I11" s="20">
        <v>38541</v>
      </c>
      <c r="J11" s="20">
        <v>38554</v>
      </c>
      <c r="K11" s="20">
        <v>38581</v>
      </c>
      <c r="L11" s="20">
        <v>38595</v>
      </c>
      <c r="M11" s="20">
        <v>38610</v>
      </c>
      <c r="N11" s="20">
        <v>38624</v>
      </c>
      <c r="O11" s="20">
        <v>38653</v>
      </c>
      <c r="P11" s="20">
        <v>38686</v>
      </c>
      <c r="Q11" s="20">
        <v>38708</v>
      </c>
      <c r="R11" s="46"/>
      <c r="S11" s="30"/>
      <c r="T11" s="30"/>
    </row>
    <row r="12" spans="1:22" ht="12.75">
      <c r="A12" s="15" t="s">
        <v>1</v>
      </c>
      <c r="B12"/>
      <c r="C12">
        <v>4</v>
      </c>
      <c r="D12">
        <v>3</v>
      </c>
      <c r="E12">
        <v>10</v>
      </c>
      <c r="F12"/>
      <c r="G12">
        <v>25</v>
      </c>
      <c r="H12">
        <v>20</v>
      </c>
      <c r="I12">
        <v>10</v>
      </c>
      <c r="J12">
        <v>17</v>
      </c>
      <c r="K12">
        <v>11</v>
      </c>
      <c r="L12">
        <v>9</v>
      </c>
      <c r="M12">
        <v>3</v>
      </c>
      <c r="N12">
        <v>6</v>
      </c>
      <c r="O12">
        <v>0</v>
      </c>
      <c r="P12">
        <v>5</v>
      </c>
      <c r="Q12"/>
      <c r="S12" s="15">
        <f>AVERAGE(B12:P14)</f>
        <v>6.641128205128205</v>
      </c>
      <c r="V12" s="15">
        <f>AVERAGE(H12:P15)</f>
        <v>7.103586206896551</v>
      </c>
    </row>
    <row r="13" spans="1:19" ht="12.75">
      <c r="A13" s="15" t="s">
        <v>2</v>
      </c>
      <c r="B13"/>
      <c r="C13">
        <v>0</v>
      </c>
      <c r="D13">
        <v>4</v>
      </c>
      <c r="E13">
        <v>10</v>
      </c>
      <c r="F13"/>
      <c r="G13">
        <v>8</v>
      </c>
      <c r="H13">
        <v>5</v>
      </c>
      <c r="I13">
        <v>10</v>
      </c>
      <c r="J13">
        <v>5</v>
      </c>
      <c r="K13">
        <v>5</v>
      </c>
      <c r="L13">
        <v>8</v>
      </c>
      <c r="M13">
        <v>5</v>
      </c>
      <c r="N13">
        <v>6</v>
      </c>
      <c r="O13">
        <v>4</v>
      </c>
      <c r="P13">
        <v>5</v>
      </c>
      <c r="Q13"/>
      <c r="S13" s="15">
        <f>AVERAGE(I12:N14)</f>
        <v>6.7780000000000005</v>
      </c>
    </row>
    <row r="14" spans="1:17" ht="12.75">
      <c r="A14" s="15" t="s">
        <v>3</v>
      </c>
      <c r="B14"/>
      <c r="C14">
        <v>0</v>
      </c>
      <c r="D14">
        <v>4</v>
      </c>
      <c r="E14">
        <v>10</v>
      </c>
      <c r="F14"/>
      <c r="G14">
        <v>5</v>
      </c>
      <c r="H14">
        <v>6</v>
      </c>
      <c r="I14">
        <v>0.004</v>
      </c>
      <c r="J14">
        <v>4</v>
      </c>
      <c r="K14">
        <v>5</v>
      </c>
      <c r="L14">
        <v>8</v>
      </c>
      <c r="M14">
        <v>4</v>
      </c>
      <c r="N14">
        <v>6</v>
      </c>
      <c r="O14">
        <v>3</v>
      </c>
      <c r="P14">
        <v>6</v>
      </c>
      <c r="Q14"/>
    </row>
    <row r="15" spans="1:17" ht="12.75">
      <c r="A15" s="15" t="s">
        <v>578</v>
      </c>
      <c r="B15">
        <v>16</v>
      </c>
      <c r="C15"/>
      <c r="D15">
        <v>3</v>
      </c>
      <c r="E15"/>
      <c r="F15"/>
      <c r="G15">
        <v>83</v>
      </c>
      <c r="H15"/>
      <c r="I15">
        <v>20</v>
      </c>
      <c r="J15"/>
      <c r="K15"/>
      <c r="L15">
        <v>10</v>
      </c>
      <c r="M15"/>
      <c r="N15"/>
      <c r="O15"/>
      <c r="P15"/>
      <c r="Q15"/>
    </row>
    <row r="16" spans="1:17" ht="12.75">
      <c r="A16" s="15" t="s">
        <v>4</v>
      </c>
      <c r="B16">
        <v>3</v>
      </c>
      <c r="C16">
        <v>0</v>
      </c>
      <c r="D16">
        <v>3</v>
      </c>
      <c r="E16">
        <v>10</v>
      </c>
      <c r="F16"/>
      <c r="G16">
        <v>9</v>
      </c>
      <c r="H16">
        <v>7</v>
      </c>
      <c r="I16">
        <v>10</v>
      </c>
      <c r="J16">
        <v>15</v>
      </c>
      <c r="K16">
        <v>8</v>
      </c>
      <c r="L16">
        <v>9</v>
      </c>
      <c r="M16">
        <v>4</v>
      </c>
      <c r="N16">
        <v>4</v>
      </c>
      <c r="O16">
        <v>0</v>
      </c>
      <c r="P16">
        <v>5</v>
      </c>
      <c r="Q16">
        <v>5</v>
      </c>
    </row>
    <row r="17" spans="1:17" ht="12.75">
      <c r="A17" s="15" t="s">
        <v>5</v>
      </c>
      <c r="B17">
        <v>81</v>
      </c>
      <c r="C17">
        <v>30</v>
      </c>
      <c r="D17">
        <v>33</v>
      </c>
      <c r="E17">
        <v>30</v>
      </c>
      <c r="F17"/>
      <c r="G17">
        <v>26</v>
      </c>
      <c r="H17">
        <v>34</v>
      </c>
      <c r="I17">
        <v>30</v>
      </c>
      <c r="J17" s="195"/>
      <c r="K17">
        <v>58</v>
      </c>
      <c r="L17" s="195"/>
      <c r="M17">
        <v>41</v>
      </c>
      <c r="N17" s="195"/>
      <c r="O17">
        <v>23</v>
      </c>
      <c r="P17">
        <v>19</v>
      </c>
      <c r="Q17">
        <v>17</v>
      </c>
    </row>
    <row r="18" spans="1:17" ht="12.75">
      <c r="A18" s="15" t="s">
        <v>6</v>
      </c>
      <c r="B18">
        <v>7</v>
      </c>
      <c r="C18">
        <v>25</v>
      </c>
      <c r="D18">
        <v>9</v>
      </c>
      <c r="E18">
        <v>20</v>
      </c>
      <c r="F18">
        <v>14</v>
      </c>
      <c r="G18">
        <v>6</v>
      </c>
      <c r="H18">
        <v>7</v>
      </c>
      <c r="I18">
        <v>0.004</v>
      </c>
      <c r="J18">
        <v>8</v>
      </c>
      <c r="K18">
        <v>13</v>
      </c>
      <c r="L18">
        <v>12</v>
      </c>
      <c r="M18">
        <v>7</v>
      </c>
      <c r="N18">
        <v>30</v>
      </c>
      <c r="O18">
        <v>3</v>
      </c>
      <c r="P18">
        <v>7</v>
      </c>
      <c r="Q18">
        <v>8</v>
      </c>
    </row>
    <row r="20" spans="20:23" ht="11.25">
      <c r="T20" s="15" t="s">
        <v>503</v>
      </c>
      <c r="U20" s="15" t="s">
        <v>524</v>
      </c>
      <c r="V20" s="15" t="s">
        <v>344</v>
      </c>
      <c r="W20" s="15" t="s">
        <v>525</v>
      </c>
    </row>
    <row r="21" spans="19:23" ht="11.25">
      <c r="S21" s="15" t="s">
        <v>521</v>
      </c>
      <c r="W21" s="44"/>
    </row>
    <row r="22" spans="19:23" ht="11.25">
      <c r="S22" s="15" t="s">
        <v>522</v>
      </c>
      <c r="W22" s="44"/>
    </row>
    <row r="23" spans="19:23" ht="11.25">
      <c r="S23" s="15" t="s">
        <v>523</v>
      </c>
      <c r="W23" s="44"/>
    </row>
  </sheetData>
  <mergeCells count="2">
    <mergeCell ref="A1:Q1"/>
    <mergeCell ref="A10:Q10"/>
  </mergeCells>
  <printOptions/>
  <pageMargins left="0.25" right="0.25" top="1" bottom="1" header="0.5" footer="0.5"/>
  <pageSetup orientation="landscape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A1">
      <selection activeCell="B9" sqref="B9"/>
    </sheetView>
  </sheetViews>
  <sheetFormatPr defaultColWidth="9.140625" defaultRowHeight="12.75"/>
  <cols>
    <col min="1" max="1" width="29.8515625" style="15" bestFit="1" customWidth="1"/>
    <col min="2" max="11" width="7.8515625" style="15" bestFit="1" customWidth="1"/>
    <col min="12" max="16384" width="9.140625" style="15" customWidth="1"/>
  </cols>
  <sheetData>
    <row r="1" spans="1:16" ht="11.25">
      <c r="A1" s="440" t="s">
        <v>155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313"/>
      <c r="P1" s="313"/>
    </row>
    <row r="2" spans="1:16" ht="12.75">
      <c r="A2" s="16" t="s">
        <v>0</v>
      </c>
      <c r="B2" s="1">
        <v>38378</v>
      </c>
      <c r="C2" s="1">
        <v>38411</v>
      </c>
      <c r="D2" s="1">
        <v>38503</v>
      </c>
      <c r="E2" s="1">
        <v>38524</v>
      </c>
      <c r="F2" s="1">
        <v>38541</v>
      </c>
      <c r="G2" s="1">
        <v>38554</v>
      </c>
      <c r="H2" s="1">
        <v>38581</v>
      </c>
      <c r="I2" s="1">
        <v>38595</v>
      </c>
      <c r="J2" s="1">
        <v>38610</v>
      </c>
      <c r="K2" s="1">
        <v>38624</v>
      </c>
      <c r="L2" s="1">
        <v>38653</v>
      </c>
      <c r="M2" s="1">
        <v>38686</v>
      </c>
      <c r="N2" s="287"/>
      <c r="O2" s="287"/>
      <c r="P2" s="287"/>
    </row>
    <row r="3" spans="1:13" ht="12.75">
      <c r="A3" s="15" t="s">
        <v>1</v>
      </c>
      <c r="B3"/>
      <c r="C3">
        <v>0.017</v>
      </c>
      <c r="D3">
        <v>0.021</v>
      </c>
      <c r="E3"/>
      <c r="F3"/>
      <c r="G3"/>
      <c r="H3"/>
      <c r="I3"/>
      <c r="J3"/>
      <c r="K3"/>
      <c r="L3"/>
      <c r="M3"/>
    </row>
    <row r="4" spans="1:13" ht="12.75">
      <c r="A4" s="15" t="s">
        <v>5</v>
      </c>
      <c r="B4"/>
      <c r="C4"/>
      <c r="D4"/>
      <c r="E4"/>
      <c r="F4"/>
      <c r="G4"/>
      <c r="H4">
        <v>0.184</v>
      </c>
      <c r="I4"/>
      <c r="J4"/>
      <c r="K4"/>
      <c r="L4"/>
      <c r="M4"/>
    </row>
    <row r="5" spans="1:13" ht="12.75">
      <c r="A5" s="15" t="s">
        <v>6</v>
      </c>
      <c r="B5">
        <v>0.006</v>
      </c>
      <c r="C5">
        <v>0.07</v>
      </c>
      <c r="D5">
        <v>0.05</v>
      </c>
      <c r="E5">
        <v>0.009</v>
      </c>
      <c r="F5">
        <v>0.008</v>
      </c>
      <c r="G5">
        <v>0.008</v>
      </c>
      <c r="H5">
        <v>0.016</v>
      </c>
      <c r="I5">
        <v>0.012</v>
      </c>
      <c r="J5">
        <v>0.012</v>
      </c>
      <c r="K5">
        <v>0.024</v>
      </c>
      <c r="L5">
        <v>0.004</v>
      </c>
      <c r="M5">
        <v>0.012</v>
      </c>
    </row>
  </sheetData>
  <mergeCells count="1">
    <mergeCell ref="A1:N1"/>
  </mergeCells>
  <printOptions/>
  <pageMargins left="0.75" right="0.75" top="1" bottom="1" header="0.5" footer="0.5"/>
  <pageSetup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V43"/>
  <sheetViews>
    <sheetView workbookViewId="0" topLeftCell="A1">
      <selection activeCell="Q12" sqref="Q12:Q15"/>
    </sheetView>
  </sheetViews>
  <sheetFormatPr defaultColWidth="9.140625" defaultRowHeight="12.75"/>
  <cols>
    <col min="1" max="1" width="29.8515625" style="15" bestFit="1" customWidth="1"/>
    <col min="2" max="2" width="7.00390625" style="15" bestFit="1" customWidth="1"/>
    <col min="3" max="3" width="7.140625" style="15" bestFit="1" customWidth="1"/>
    <col min="4" max="4" width="6.57421875" style="15" bestFit="1" customWidth="1"/>
    <col min="5" max="5" width="7.140625" style="15" bestFit="1" customWidth="1"/>
    <col min="6" max="6" width="6.7109375" style="15" bestFit="1" customWidth="1"/>
    <col min="7" max="7" width="6.8515625" style="15" bestFit="1" customWidth="1"/>
    <col min="8" max="8" width="7.421875" style="15" bestFit="1" customWidth="1"/>
    <col min="9" max="9" width="7.00390625" style="15" bestFit="1" customWidth="1"/>
    <col min="10" max="10" width="5.8515625" style="15" bestFit="1" customWidth="1"/>
    <col min="11" max="11" width="6.421875" style="15" bestFit="1" customWidth="1"/>
    <col min="12" max="12" width="6.28125" style="15" bestFit="1" customWidth="1"/>
    <col min="13" max="16" width="7.28125" style="15" bestFit="1" customWidth="1"/>
    <col min="17" max="19" width="7.00390625" style="15" bestFit="1" customWidth="1"/>
    <col min="20" max="20" width="4.8515625" style="15" bestFit="1" customWidth="1"/>
    <col min="21" max="21" width="12.28125" style="15" bestFit="1" customWidth="1"/>
    <col min="22" max="22" width="5.421875" style="15" bestFit="1" customWidth="1"/>
    <col min="23" max="16384" width="9.140625" style="15" customWidth="1"/>
  </cols>
  <sheetData>
    <row r="1" spans="1:20" ht="11.25">
      <c r="A1" s="440" t="s">
        <v>102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5"/>
      <c r="S1" s="45"/>
      <c r="T1" s="45"/>
    </row>
    <row r="2" spans="1:21" s="324" customFormat="1" ht="11.25">
      <c r="A2" s="322" t="s">
        <v>0</v>
      </c>
      <c r="B2" s="322">
        <v>38378</v>
      </c>
      <c r="C2" s="322">
        <v>38411</v>
      </c>
      <c r="D2" s="322">
        <v>38420</v>
      </c>
      <c r="E2" s="322">
        <v>38440</v>
      </c>
      <c r="F2" s="322">
        <v>38449</v>
      </c>
      <c r="G2" s="322">
        <v>38471</v>
      </c>
      <c r="H2" s="322">
        <v>38503</v>
      </c>
      <c r="I2" s="322">
        <v>38524</v>
      </c>
      <c r="J2" s="322">
        <v>38541</v>
      </c>
      <c r="K2" s="322">
        <v>38554</v>
      </c>
      <c r="L2" s="322">
        <v>38568</v>
      </c>
      <c r="M2" s="322">
        <v>38581</v>
      </c>
      <c r="N2" s="322">
        <v>38595</v>
      </c>
      <c r="O2" s="322">
        <v>38610</v>
      </c>
      <c r="P2" s="322">
        <v>38624</v>
      </c>
      <c r="Q2" s="323">
        <v>38653</v>
      </c>
      <c r="R2" s="322">
        <v>38686</v>
      </c>
      <c r="S2" s="322">
        <v>38708</v>
      </c>
      <c r="T2" s="322"/>
      <c r="U2" s="324" t="s">
        <v>345</v>
      </c>
    </row>
    <row r="3" spans="1:19" ht="12.75">
      <c r="A3" s="15" t="s">
        <v>8</v>
      </c>
      <c r="B3"/>
      <c r="C3"/>
      <c r="D3"/>
      <c r="E3"/>
      <c r="F3"/>
      <c r="G3"/>
      <c r="H3"/>
      <c r="I3"/>
      <c r="J3"/>
      <c r="K3"/>
      <c r="L3"/>
      <c r="M3">
        <v>0.0397</v>
      </c>
      <c r="N3"/>
      <c r="O3"/>
      <c r="P3"/>
      <c r="S3"/>
    </row>
    <row r="4" spans="1:22" ht="12.75">
      <c r="A4" s="15" t="s">
        <v>1</v>
      </c>
      <c r="B4"/>
      <c r="C4">
        <v>0.026</v>
      </c>
      <c r="D4"/>
      <c r="E4">
        <v>0.026</v>
      </c>
      <c r="F4">
        <v>0.019</v>
      </c>
      <c r="G4"/>
      <c r="H4">
        <v>0.048</v>
      </c>
      <c r="I4" s="9">
        <v>0.05</v>
      </c>
      <c r="J4">
        <v>0.032</v>
      </c>
      <c r="K4">
        <v>0.032</v>
      </c>
      <c r="L4"/>
      <c r="M4">
        <v>0.034</v>
      </c>
      <c r="N4">
        <v>0.039</v>
      </c>
      <c r="O4">
        <v>0.028</v>
      </c>
      <c r="P4">
        <v>0.021</v>
      </c>
      <c r="Q4">
        <v>0.028</v>
      </c>
      <c r="R4">
        <v>0.023</v>
      </c>
      <c r="S4"/>
      <c r="U4" s="43">
        <f aca="true" t="shared" si="0" ref="U4:U11">AVERAGE(B4:T4)</f>
        <v>0.031230769230769236</v>
      </c>
      <c r="V4" s="43">
        <f>AVERAGE(B4:R6)</f>
        <v>0.02594871794871796</v>
      </c>
    </row>
    <row r="5" spans="1:21" ht="12.75">
      <c r="A5" s="15" t="s">
        <v>2</v>
      </c>
      <c r="B5"/>
      <c r="C5">
        <v>0.014</v>
      </c>
      <c r="D5"/>
      <c r="E5">
        <v>0.024</v>
      </c>
      <c r="F5" s="9">
        <v>0.02</v>
      </c>
      <c r="G5"/>
      <c r="H5">
        <v>0.032</v>
      </c>
      <c r="I5">
        <v>0.018</v>
      </c>
      <c r="J5">
        <v>0.022</v>
      </c>
      <c r="K5">
        <v>0.017</v>
      </c>
      <c r="L5"/>
      <c r="M5">
        <v>0.018</v>
      </c>
      <c r="N5">
        <v>0.029</v>
      </c>
      <c r="O5">
        <v>0.034</v>
      </c>
      <c r="P5">
        <v>0.02</v>
      </c>
      <c r="Q5">
        <v>0.024</v>
      </c>
      <c r="R5">
        <v>0.026</v>
      </c>
      <c r="S5"/>
      <c r="U5" s="43">
        <f t="shared" si="0"/>
        <v>0.022923076923076928</v>
      </c>
    </row>
    <row r="6" spans="1:22" ht="12.75">
      <c r="A6" s="15" t="s">
        <v>3</v>
      </c>
      <c r="B6"/>
      <c r="C6">
        <v>0.014</v>
      </c>
      <c r="D6"/>
      <c r="E6">
        <v>0.027</v>
      </c>
      <c r="F6">
        <v>0.017</v>
      </c>
      <c r="G6"/>
      <c r="H6">
        <v>0.047</v>
      </c>
      <c r="I6">
        <v>0.023</v>
      </c>
      <c r="J6">
        <v>0.017</v>
      </c>
      <c r="K6">
        <v>0.012</v>
      </c>
      <c r="L6"/>
      <c r="M6">
        <v>0.024</v>
      </c>
      <c r="N6">
        <v>0.031</v>
      </c>
      <c r="O6">
        <v>0.03</v>
      </c>
      <c r="P6">
        <v>0.019</v>
      </c>
      <c r="Q6">
        <v>0.025</v>
      </c>
      <c r="R6">
        <v>0.022</v>
      </c>
      <c r="S6"/>
      <c r="U6" s="43">
        <f t="shared" si="0"/>
        <v>0.023692307692307697</v>
      </c>
      <c r="V6" s="43">
        <f>AVERAGE(J4:O6)</f>
        <v>0.02660000000000001</v>
      </c>
    </row>
    <row r="7" spans="1:21" ht="12.75">
      <c r="A7" s="14" t="s">
        <v>547</v>
      </c>
      <c r="B7" s="9"/>
      <c r="C7" s="9"/>
      <c r="D7"/>
      <c r="E7">
        <v>0.056</v>
      </c>
      <c r="F7"/>
      <c r="G7"/>
      <c r="H7"/>
      <c r="I7"/>
      <c r="J7">
        <v>0.101</v>
      </c>
      <c r="K7"/>
      <c r="L7">
        <v>0.379</v>
      </c>
      <c r="M7"/>
      <c r="N7"/>
      <c r="O7"/>
      <c r="P7"/>
      <c r="Q7" s="43"/>
      <c r="S7"/>
      <c r="U7" s="43">
        <f t="shared" si="0"/>
        <v>0.17866666666666667</v>
      </c>
    </row>
    <row r="8" spans="1:21" ht="12.75">
      <c r="A8" s="14" t="s">
        <v>548</v>
      </c>
      <c r="B8" s="9"/>
      <c r="C8" s="9"/>
      <c r="D8">
        <v>0.045</v>
      </c>
      <c r="E8">
        <v>0.051</v>
      </c>
      <c r="F8"/>
      <c r="G8"/>
      <c r="H8"/>
      <c r="I8"/>
      <c r="J8">
        <v>0.029</v>
      </c>
      <c r="K8"/>
      <c r="L8">
        <v>0.388</v>
      </c>
      <c r="M8"/>
      <c r="N8"/>
      <c r="O8"/>
      <c r="P8"/>
      <c r="Q8" s="43"/>
      <c r="S8"/>
      <c r="U8" s="43"/>
    </row>
    <row r="9" spans="1:21" ht="12.75">
      <c r="A9" s="14" t="s">
        <v>4</v>
      </c>
      <c r="B9" s="9">
        <v>0.016</v>
      </c>
      <c r="C9" s="9">
        <v>0.025</v>
      </c>
      <c r="D9"/>
      <c r="E9">
        <v>0.021</v>
      </c>
      <c r="F9">
        <v>0.021</v>
      </c>
      <c r="G9"/>
      <c r="H9">
        <v>0.042</v>
      </c>
      <c r="I9">
        <v>0.026</v>
      </c>
      <c r="J9">
        <v>0.035</v>
      </c>
      <c r="K9">
        <v>0.035</v>
      </c>
      <c r="L9"/>
      <c r="M9">
        <v>0.033</v>
      </c>
      <c r="N9">
        <v>0.054</v>
      </c>
      <c r="O9">
        <v>0.038</v>
      </c>
      <c r="P9">
        <v>0.014</v>
      </c>
      <c r="Q9" s="43">
        <v>0.03</v>
      </c>
      <c r="R9" s="15">
        <v>0.019</v>
      </c>
      <c r="S9">
        <v>0.02</v>
      </c>
      <c r="U9" s="43"/>
    </row>
    <row r="10" spans="1:21" ht="12.75">
      <c r="A10" s="15" t="s">
        <v>5</v>
      </c>
      <c r="B10" s="9">
        <v>0.12</v>
      </c>
      <c r="C10" s="9">
        <v>0.071</v>
      </c>
      <c r="D10"/>
      <c r="E10">
        <v>0.077</v>
      </c>
      <c r="F10">
        <v>0.255</v>
      </c>
      <c r="G10"/>
      <c r="H10">
        <v>0.125</v>
      </c>
      <c r="I10">
        <v>0.064</v>
      </c>
      <c r="J10">
        <v>0.065</v>
      </c>
      <c r="K10"/>
      <c r="L10"/>
      <c r="M10">
        <v>0.235</v>
      </c>
      <c r="N10"/>
      <c r="O10">
        <v>0.079</v>
      </c>
      <c r="P10"/>
      <c r="Q10">
        <v>0.062</v>
      </c>
      <c r="R10">
        <v>0.071</v>
      </c>
      <c r="S10" s="11">
        <v>0.1</v>
      </c>
      <c r="U10" s="43">
        <f t="shared" si="0"/>
        <v>0.11033333333333334</v>
      </c>
    </row>
    <row r="11" spans="1:21" ht="12.75">
      <c r="A11" s="15" t="s">
        <v>6</v>
      </c>
      <c r="B11" s="9">
        <v>0.015</v>
      </c>
      <c r="C11" s="9">
        <v>0.1</v>
      </c>
      <c r="D11"/>
      <c r="E11">
        <v>0.024</v>
      </c>
      <c r="F11">
        <v>0.04</v>
      </c>
      <c r="G11">
        <v>0.113</v>
      </c>
      <c r="H11">
        <v>0.061</v>
      </c>
      <c r="I11">
        <v>0.019</v>
      </c>
      <c r="J11">
        <v>0.015</v>
      </c>
      <c r="K11" s="195">
        <v>0.015</v>
      </c>
      <c r="L11" s="195"/>
      <c r="M11">
        <v>0.031</v>
      </c>
      <c r="N11" s="195">
        <v>0.031</v>
      </c>
      <c r="O11">
        <v>0.019</v>
      </c>
      <c r="P11" s="195">
        <v>0.05</v>
      </c>
      <c r="Q11">
        <v>0.011</v>
      </c>
      <c r="R11">
        <v>0.021</v>
      </c>
      <c r="S11">
        <v>0.02</v>
      </c>
      <c r="U11" s="43">
        <f t="shared" si="0"/>
        <v>0.03656250000000001</v>
      </c>
    </row>
    <row r="12" spans="1:21" ht="12.75">
      <c r="A12" s="15" t="s">
        <v>549</v>
      </c>
      <c r="B12" s="9"/>
      <c r="C12" s="9"/>
      <c r="D12"/>
      <c r="E12"/>
      <c r="F12" s="9"/>
      <c r="G12"/>
      <c r="H12"/>
      <c r="I12"/>
      <c r="J12"/>
      <c r="K12"/>
      <c r="L12"/>
      <c r="M12"/>
      <c r="N12"/>
      <c r="O12"/>
      <c r="P12"/>
      <c r="Q12">
        <v>0.033</v>
      </c>
      <c r="R12"/>
      <c r="S12"/>
      <c r="U12" s="43">
        <f>AVERAGE(B12:T12)</f>
        <v>0.033</v>
      </c>
    </row>
    <row r="13" spans="1:21" ht="12.75">
      <c r="A13" s="15" t="s">
        <v>550</v>
      </c>
      <c r="B13" s="9"/>
      <c r="C13" s="9"/>
      <c r="D13"/>
      <c r="E13"/>
      <c r="F13" s="9"/>
      <c r="G13"/>
      <c r="H13"/>
      <c r="I13"/>
      <c r="J13"/>
      <c r="K13"/>
      <c r="L13"/>
      <c r="M13"/>
      <c r="N13"/>
      <c r="O13"/>
      <c r="P13"/>
      <c r="Q13">
        <v>0.026</v>
      </c>
      <c r="R13"/>
      <c r="S13"/>
      <c r="U13" s="43"/>
    </row>
    <row r="14" spans="1:21" ht="12.75">
      <c r="A14" s="15" t="s">
        <v>551</v>
      </c>
      <c r="B14" s="9"/>
      <c r="C14" s="9"/>
      <c r="D14"/>
      <c r="E14"/>
      <c r="F14" s="9"/>
      <c r="G14"/>
      <c r="H14"/>
      <c r="I14"/>
      <c r="J14"/>
      <c r="K14"/>
      <c r="L14"/>
      <c r="M14"/>
      <c r="N14"/>
      <c r="O14"/>
      <c r="P14"/>
      <c r="Q14">
        <v>0.077</v>
      </c>
      <c r="R14"/>
      <c r="S14"/>
      <c r="U14" s="43"/>
    </row>
    <row r="15" spans="1:21" ht="12.75">
      <c r="A15" s="15" t="s">
        <v>552</v>
      </c>
      <c r="B15" s="9"/>
      <c r="C15" s="9"/>
      <c r="D15"/>
      <c r="E15"/>
      <c r="F15" s="9"/>
      <c r="G15"/>
      <c r="H15"/>
      <c r="I15"/>
      <c r="J15"/>
      <c r="K15"/>
      <c r="L15"/>
      <c r="M15"/>
      <c r="N15"/>
      <c r="O15"/>
      <c r="P15"/>
      <c r="Q15">
        <v>0.019</v>
      </c>
      <c r="R15"/>
      <c r="S15"/>
      <c r="U15" s="43"/>
    </row>
    <row r="17" spans="1:20" ht="11.25">
      <c r="A17" s="440" t="s">
        <v>103</v>
      </c>
      <c r="B17" s="440"/>
      <c r="C17" s="440"/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5"/>
      <c r="S17" s="51"/>
      <c r="T17" s="51"/>
    </row>
    <row r="18" spans="1:20" ht="11.25">
      <c r="A18" s="16" t="s">
        <v>0</v>
      </c>
      <c r="B18" s="30" t="s">
        <v>105</v>
      </c>
      <c r="C18" s="30" t="s">
        <v>106</v>
      </c>
      <c r="D18" s="30" t="s">
        <v>107</v>
      </c>
      <c r="E18" s="30" t="s">
        <v>108</v>
      </c>
      <c r="F18" s="30" t="s">
        <v>109</v>
      </c>
      <c r="G18" s="30" t="s">
        <v>110</v>
      </c>
      <c r="H18" s="30" t="s">
        <v>111</v>
      </c>
      <c r="I18" s="30" t="s">
        <v>112</v>
      </c>
      <c r="J18" s="30" t="s">
        <v>113</v>
      </c>
      <c r="K18" s="30" t="s">
        <v>114</v>
      </c>
      <c r="L18" s="30" t="s">
        <v>115</v>
      </c>
      <c r="M18" s="30" t="s">
        <v>116</v>
      </c>
      <c r="N18" s="30" t="s">
        <v>474</v>
      </c>
      <c r="O18" s="30"/>
      <c r="P18" s="30"/>
      <c r="Q18" s="47"/>
      <c r="R18" s="30"/>
      <c r="S18" s="30"/>
      <c r="T18" s="30"/>
    </row>
    <row r="19" spans="1:21" ht="11.25">
      <c r="A19" s="15" t="s">
        <v>543</v>
      </c>
      <c r="I19" s="15">
        <v>39.7</v>
      </c>
      <c r="U19" s="38"/>
    </row>
    <row r="20" spans="1:21" ht="11.25">
      <c r="A20" s="15" t="s">
        <v>1</v>
      </c>
      <c r="B20" s="15">
        <v>16</v>
      </c>
      <c r="C20" s="15">
        <v>26</v>
      </c>
      <c r="D20" s="15">
        <v>26</v>
      </c>
      <c r="E20" s="15">
        <v>19</v>
      </c>
      <c r="F20" s="15">
        <v>48</v>
      </c>
      <c r="G20" s="15">
        <v>50</v>
      </c>
      <c r="H20" s="15">
        <v>32</v>
      </c>
      <c r="I20" s="15">
        <v>37</v>
      </c>
      <c r="J20" s="15">
        <v>25</v>
      </c>
      <c r="K20" s="15">
        <v>28</v>
      </c>
      <c r="L20" s="15">
        <v>23</v>
      </c>
      <c r="N20" s="44">
        <f aca="true" t="shared" si="1" ref="N20:N28">AVERAGE(B20:M20)</f>
        <v>30</v>
      </c>
      <c r="P20" s="44"/>
      <c r="Q20" s="44"/>
      <c r="U20" s="38"/>
    </row>
    <row r="21" spans="1:21" ht="11.25">
      <c r="A21" s="15" t="s">
        <v>2</v>
      </c>
      <c r="C21" s="15">
        <v>14</v>
      </c>
      <c r="D21" s="15">
        <v>24</v>
      </c>
      <c r="E21" s="15">
        <v>20</v>
      </c>
      <c r="F21" s="15">
        <v>32</v>
      </c>
      <c r="G21" s="15">
        <v>18</v>
      </c>
      <c r="H21" s="15">
        <v>20</v>
      </c>
      <c r="I21" s="15">
        <v>24</v>
      </c>
      <c r="J21" s="15">
        <v>27</v>
      </c>
      <c r="K21" s="15">
        <v>24</v>
      </c>
      <c r="L21" s="15">
        <v>26</v>
      </c>
      <c r="N21" s="44">
        <f t="shared" si="1"/>
        <v>22.9</v>
      </c>
      <c r="P21" s="44"/>
      <c r="Q21" s="44"/>
      <c r="U21" s="38"/>
    </row>
    <row r="22" spans="1:21" ht="11.25">
      <c r="A22" s="15" t="s">
        <v>3</v>
      </c>
      <c r="C22" s="15">
        <v>14</v>
      </c>
      <c r="D22" s="15">
        <v>27</v>
      </c>
      <c r="E22" s="15">
        <v>17</v>
      </c>
      <c r="F22" s="15">
        <v>47</v>
      </c>
      <c r="G22" s="15">
        <v>23</v>
      </c>
      <c r="H22" s="15">
        <v>15</v>
      </c>
      <c r="I22" s="15">
        <v>28</v>
      </c>
      <c r="J22" s="15">
        <v>25</v>
      </c>
      <c r="K22" s="15">
        <v>25</v>
      </c>
      <c r="L22" s="15">
        <v>22</v>
      </c>
      <c r="N22" s="44">
        <f t="shared" si="1"/>
        <v>24.3</v>
      </c>
      <c r="P22" s="44"/>
      <c r="Q22" s="44"/>
      <c r="U22" s="38"/>
    </row>
    <row r="23" spans="2:21" ht="11.25">
      <c r="B23" s="44">
        <f>AVERAGE(B20:B22)</f>
        <v>16</v>
      </c>
      <c r="C23" s="44">
        <f aca="true" t="shared" si="2" ref="C23:L23">AVERAGE(C20:C22)</f>
        <v>18</v>
      </c>
      <c r="D23" s="44">
        <f t="shared" si="2"/>
        <v>25.666666666666668</v>
      </c>
      <c r="E23" s="44">
        <f t="shared" si="2"/>
        <v>18.666666666666668</v>
      </c>
      <c r="F23" s="44">
        <f t="shared" si="2"/>
        <v>42.333333333333336</v>
      </c>
      <c r="G23" s="44">
        <f t="shared" si="2"/>
        <v>30.333333333333332</v>
      </c>
      <c r="H23" s="44">
        <f t="shared" si="2"/>
        <v>22.333333333333332</v>
      </c>
      <c r="I23" s="44">
        <f t="shared" si="2"/>
        <v>29.666666666666668</v>
      </c>
      <c r="J23" s="44">
        <f t="shared" si="2"/>
        <v>25.666666666666668</v>
      </c>
      <c r="K23" s="44">
        <f t="shared" si="2"/>
        <v>25.666666666666668</v>
      </c>
      <c r="L23" s="44">
        <f t="shared" si="2"/>
        <v>23.666666666666668</v>
      </c>
      <c r="N23" s="44"/>
      <c r="P23" s="44"/>
      <c r="Q23" s="44"/>
      <c r="U23" s="38"/>
    </row>
    <row r="24" spans="1:21" ht="11.25">
      <c r="A24" s="14" t="s">
        <v>540</v>
      </c>
      <c r="B24" s="15">
        <v>45</v>
      </c>
      <c r="E24" s="15">
        <v>22</v>
      </c>
      <c r="F24" s="15">
        <v>157</v>
      </c>
      <c r="N24" s="44">
        <f t="shared" si="1"/>
        <v>74.66666666666667</v>
      </c>
      <c r="P24" s="44"/>
      <c r="Q24" s="44"/>
      <c r="U24" s="38"/>
    </row>
    <row r="25" spans="1:21" ht="11.25">
      <c r="A25" s="14" t="s">
        <v>541</v>
      </c>
      <c r="D25" s="15">
        <v>61</v>
      </c>
      <c r="H25" s="15">
        <v>101</v>
      </c>
      <c r="I25" s="15">
        <v>379</v>
      </c>
      <c r="N25" s="44">
        <f t="shared" si="1"/>
        <v>180.33333333333334</v>
      </c>
      <c r="P25" s="44"/>
      <c r="Q25" s="44"/>
      <c r="U25" s="38"/>
    </row>
    <row r="26" spans="1:21" ht="11.25">
      <c r="A26" s="14" t="s">
        <v>542</v>
      </c>
      <c r="D26" s="15">
        <v>48</v>
      </c>
      <c r="H26" s="15">
        <v>29</v>
      </c>
      <c r="I26" s="15">
        <v>388</v>
      </c>
      <c r="N26" s="44">
        <f t="shared" si="1"/>
        <v>155</v>
      </c>
      <c r="P26" s="44"/>
      <c r="Q26" s="44"/>
      <c r="U26" s="38"/>
    </row>
    <row r="27" spans="1:21" ht="11.25">
      <c r="A27" s="15" t="s">
        <v>4</v>
      </c>
      <c r="B27" s="15">
        <v>16</v>
      </c>
      <c r="C27" s="15">
        <v>25</v>
      </c>
      <c r="D27" s="15">
        <v>21</v>
      </c>
      <c r="E27" s="15">
        <v>21</v>
      </c>
      <c r="F27" s="15">
        <v>42</v>
      </c>
      <c r="G27" s="15">
        <v>26</v>
      </c>
      <c r="H27" s="15">
        <v>35</v>
      </c>
      <c r="I27" s="15">
        <v>44</v>
      </c>
      <c r="J27" s="15">
        <v>26</v>
      </c>
      <c r="K27" s="15">
        <v>30</v>
      </c>
      <c r="L27" s="15">
        <v>19</v>
      </c>
      <c r="M27" s="15">
        <v>20</v>
      </c>
      <c r="N27" s="44">
        <f t="shared" si="1"/>
        <v>27.083333333333332</v>
      </c>
      <c r="P27" s="44"/>
      <c r="Q27" s="44"/>
      <c r="U27" s="38"/>
    </row>
    <row r="28" spans="1:21" ht="11.25">
      <c r="A28" s="15" t="s">
        <v>5</v>
      </c>
      <c r="B28" s="15">
        <v>120</v>
      </c>
      <c r="C28" s="15">
        <v>71</v>
      </c>
      <c r="D28" s="15">
        <v>77</v>
      </c>
      <c r="E28" s="15">
        <v>255</v>
      </c>
      <c r="F28" s="15">
        <v>125</v>
      </c>
      <c r="G28" s="15">
        <v>64</v>
      </c>
      <c r="H28" s="15">
        <v>65</v>
      </c>
      <c r="I28" s="15">
        <v>235</v>
      </c>
      <c r="J28" s="15">
        <v>79</v>
      </c>
      <c r="K28" s="15">
        <v>62</v>
      </c>
      <c r="L28" s="15">
        <v>71</v>
      </c>
      <c r="M28" s="15">
        <v>100</v>
      </c>
      <c r="N28" s="44">
        <f t="shared" si="1"/>
        <v>110.33333333333333</v>
      </c>
      <c r="P28" s="44"/>
      <c r="Q28" s="44"/>
      <c r="U28" s="38"/>
    </row>
    <row r="29" spans="1:21" ht="11.25">
      <c r="A29" s="15" t="s">
        <v>6</v>
      </c>
      <c r="B29" s="15">
        <v>15</v>
      </c>
      <c r="C29" s="15">
        <v>100</v>
      </c>
      <c r="D29" s="15">
        <v>24</v>
      </c>
      <c r="E29" s="15">
        <v>77</v>
      </c>
      <c r="F29" s="15">
        <v>61</v>
      </c>
      <c r="G29" s="15">
        <v>19</v>
      </c>
      <c r="H29" s="15">
        <v>15</v>
      </c>
      <c r="I29" s="15">
        <v>31</v>
      </c>
      <c r="J29" s="15">
        <v>35</v>
      </c>
      <c r="K29" s="15">
        <v>11</v>
      </c>
      <c r="L29" s="15">
        <v>21</v>
      </c>
      <c r="M29" s="15">
        <v>20</v>
      </c>
      <c r="N29" s="44">
        <f>AVERAGE(B29:M29)</f>
        <v>35.75</v>
      </c>
      <c r="P29" s="44"/>
      <c r="Q29" s="44"/>
      <c r="U29" s="38"/>
    </row>
    <row r="31" spans="19:22" ht="11.25">
      <c r="S31" s="15" t="s">
        <v>493</v>
      </c>
      <c r="T31" s="15" t="s">
        <v>503</v>
      </c>
      <c r="U31" s="15" t="s">
        <v>344</v>
      </c>
      <c r="V31" s="15" t="s">
        <v>505</v>
      </c>
    </row>
    <row r="32" spans="18:22" ht="11.25">
      <c r="R32" s="15" t="s">
        <v>105</v>
      </c>
      <c r="S32" s="43">
        <v>0.016</v>
      </c>
      <c r="T32" s="43">
        <v>0.015</v>
      </c>
      <c r="U32" s="43">
        <v>0.12</v>
      </c>
      <c r="V32" s="43">
        <v>0.016</v>
      </c>
    </row>
    <row r="33" spans="18:22" ht="11.25">
      <c r="R33" s="15" t="s">
        <v>106</v>
      </c>
      <c r="S33" s="43">
        <v>0.018</v>
      </c>
      <c r="T33" s="43">
        <v>0.1</v>
      </c>
      <c r="U33" s="43">
        <v>0.071</v>
      </c>
      <c r="V33" s="43">
        <v>0.025</v>
      </c>
    </row>
    <row r="34" spans="18:22" ht="11.25">
      <c r="R34" s="15" t="s">
        <v>107</v>
      </c>
      <c r="S34" s="43">
        <v>0.026</v>
      </c>
      <c r="T34" s="43">
        <v>0.024</v>
      </c>
      <c r="U34" s="43">
        <v>0.077</v>
      </c>
      <c r="V34" s="43">
        <v>0.021</v>
      </c>
    </row>
    <row r="35" spans="18:22" ht="11.25">
      <c r="R35" s="15" t="s">
        <v>108</v>
      </c>
      <c r="S35" s="43">
        <v>0.019</v>
      </c>
      <c r="T35" s="43">
        <v>0.077</v>
      </c>
      <c r="U35" s="43">
        <v>0.255</v>
      </c>
      <c r="V35" s="43">
        <v>0.021</v>
      </c>
    </row>
    <row r="36" spans="18:22" ht="11.25">
      <c r="R36" s="15" t="s">
        <v>109</v>
      </c>
      <c r="S36" s="43">
        <v>0.042</v>
      </c>
      <c r="T36" s="43">
        <v>0.061</v>
      </c>
      <c r="U36" s="43">
        <v>0.125</v>
      </c>
      <c r="V36" s="43">
        <v>0.042</v>
      </c>
    </row>
    <row r="37" spans="18:22" ht="11.25">
      <c r="R37" s="15" t="s">
        <v>110</v>
      </c>
      <c r="S37" s="43">
        <v>0.03</v>
      </c>
      <c r="T37" s="43">
        <v>0.019</v>
      </c>
      <c r="U37" s="43">
        <v>0.064</v>
      </c>
      <c r="V37" s="43">
        <v>0.026</v>
      </c>
    </row>
    <row r="38" spans="18:22" ht="11.25">
      <c r="R38" s="15" t="s">
        <v>111</v>
      </c>
      <c r="S38" s="43">
        <v>0.022</v>
      </c>
      <c r="T38" s="43">
        <v>0.015</v>
      </c>
      <c r="U38" s="43">
        <v>0.065</v>
      </c>
      <c r="V38" s="43">
        <v>0.035</v>
      </c>
    </row>
    <row r="39" spans="18:22" ht="11.25">
      <c r="R39" s="15" t="s">
        <v>112</v>
      </c>
      <c r="S39" s="43">
        <v>0.03</v>
      </c>
      <c r="T39" s="43">
        <v>0.031</v>
      </c>
      <c r="U39" s="43">
        <v>0.35</v>
      </c>
      <c r="V39" s="43">
        <v>0.44</v>
      </c>
    </row>
    <row r="40" spans="18:22" ht="11.25">
      <c r="R40" s="15" t="s">
        <v>113</v>
      </c>
      <c r="S40" s="43">
        <v>0.016</v>
      </c>
      <c r="T40" s="43">
        <v>0.035</v>
      </c>
      <c r="U40" s="43">
        <v>0.079</v>
      </c>
      <c r="V40" s="43">
        <v>0.026</v>
      </c>
    </row>
    <row r="41" spans="18:22" ht="11.25">
      <c r="R41" s="15" t="s">
        <v>114</v>
      </c>
      <c r="S41" s="43">
        <v>0.026</v>
      </c>
      <c r="T41" s="43">
        <v>0.011</v>
      </c>
      <c r="U41" s="43">
        <v>0.062</v>
      </c>
      <c r="V41" s="43">
        <v>0.03</v>
      </c>
    </row>
    <row r="42" spans="18:22" ht="11.25">
      <c r="R42" s="15" t="s">
        <v>115</v>
      </c>
      <c r="S42" s="43">
        <v>0.024</v>
      </c>
      <c r="T42" s="43">
        <v>0.021</v>
      </c>
      <c r="U42" s="43">
        <v>0.071</v>
      </c>
      <c r="V42" s="43">
        <v>0.019</v>
      </c>
    </row>
    <row r="43" spans="18:22" ht="11.25">
      <c r="R43" s="15" t="s">
        <v>116</v>
      </c>
      <c r="S43" s="43"/>
      <c r="T43" s="43">
        <v>0.02</v>
      </c>
      <c r="U43" s="43">
        <v>0.1</v>
      </c>
      <c r="V43" s="43">
        <v>0.02</v>
      </c>
    </row>
  </sheetData>
  <mergeCells count="2">
    <mergeCell ref="A1:Q1"/>
    <mergeCell ref="A17:Q17"/>
  </mergeCells>
  <printOptions/>
  <pageMargins left="0.25" right="0.25" top="1" bottom="1" header="0.5" footer="0.5"/>
  <pageSetup orientation="landscape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E2">
      <selection activeCell="R40" sqref="R40"/>
    </sheetView>
  </sheetViews>
  <sheetFormatPr defaultColWidth="9.140625" defaultRowHeight="12.75"/>
  <cols>
    <col min="1" max="1" width="5.00390625" style="0" bestFit="1" customWidth="1"/>
    <col min="2" max="2" width="16.00390625" style="0" bestFit="1" customWidth="1"/>
    <col min="3" max="3" width="10.7109375" style="0" bestFit="1" customWidth="1"/>
    <col min="4" max="4" width="16.00390625" style="0" bestFit="1" customWidth="1"/>
    <col min="5" max="5" width="10.7109375" style="0" bestFit="1" customWidth="1"/>
    <col min="6" max="6" width="16.00390625" style="0" bestFit="1" customWidth="1"/>
    <col min="7" max="7" width="15.7109375" style="0" bestFit="1" customWidth="1"/>
  </cols>
  <sheetData>
    <row r="1" spans="1:7" ht="15.75">
      <c r="A1" s="427" t="s">
        <v>514</v>
      </c>
      <c r="B1" s="427"/>
      <c r="C1" s="427"/>
      <c r="D1" s="427"/>
      <c r="E1" s="427"/>
      <c r="F1" s="427"/>
      <c r="G1" s="427"/>
    </row>
    <row r="3" spans="1:7" ht="12.75">
      <c r="A3" s="428" t="s">
        <v>354</v>
      </c>
      <c r="B3" s="426" t="s">
        <v>509</v>
      </c>
      <c r="C3" s="426"/>
      <c r="D3" s="426" t="s">
        <v>510</v>
      </c>
      <c r="E3" s="426"/>
      <c r="F3" s="426" t="s">
        <v>511</v>
      </c>
      <c r="G3" s="426"/>
    </row>
    <row r="4" spans="1:7" ht="12.75">
      <c r="A4" s="429"/>
      <c r="B4" s="277" t="s">
        <v>425</v>
      </c>
      <c r="C4" s="277" t="s">
        <v>411</v>
      </c>
      <c r="D4" s="277" t="s">
        <v>425</v>
      </c>
      <c r="E4" s="277" t="s">
        <v>411</v>
      </c>
      <c r="F4" s="277" t="s">
        <v>425</v>
      </c>
      <c r="G4" s="277" t="s">
        <v>411</v>
      </c>
    </row>
    <row r="5" spans="1:7" ht="12.75">
      <c r="A5" s="430"/>
      <c r="B5" s="278" t="s">
        <v>512</v>
      </c>
      <c r="C5" s="278" t="s">
        <v>512</v>
      </c>
      <c r="D5" s="278" t="s">
        <v>512</v>
      </c>
      <c r="E5" s="278" t="s">
        <v>512</v>
      </c>
      <c r="F5" s="278" t="s">
        <v>513</v>
      </c>
      <c r="G5" s="278" t="s">
        <v>513</v>
      </c>
    </row>
    <row r="6" spans="1:7" ht="12.75">
      <c r="A6" s="209">
        <v>1990</v>
      </c>
      <c r="B6" s="209">
        <v>2115</v>
      </c>
      <c r="C6" s="209">
        <v>3440</v>
      </c>
      <c r="D6" s="209"/>
      <c r="E6" s="209"/>
      <c r="F6" s="209"/>
      <c r="G6" s="209"/>
    </row>
    <row r="7" spans="1:7" ht="12.75">
      <c r="A7" s="209">
        <v>1991</v>
      </c>
      <c r="B7" s="209">
        <v>1770</v>
      </c>
      <c r="C7" s="209">
        <v>3750</v>
      </c>
      <c r="D7" s="209"/>
      <c r="E7" s="209"/>
      <c r="F7" s="209"/>
      <c r="G7" s="209"/>
    </row>
    <row r="8" spans="1:7" ht="12.75">
      <c r="A8" s="209">
        <v>1992</v>
      </c>
      <c r="B8" s="209">
        <v>1450</v>
      </c>
      <c r="C8" s="209">
        <v>7040</v>
      </c>
      <c r="D8" s="209"/>
      <c r="E8" s="209"/>
      <c r="F8" s="209"/>
      <c r="G8" s="209"/>
    </row>
    <row r="9" spans="1:7" ht="12.75">
      <c r="A9" s="209">
        <v>1993</v>
      </c>
      <c r="B9" s="209">
        <v>1580</v>
      </c>
      <c r="C9" s="209">
        <v>2960</v>
      </c>
      <c r="D9" s="209"/>
      <c r="E9" s="209"/>
      <c r="F9" s="209"/>
      <c r="G9" s="209"/>
    </row>
    <row r="10" spans="1:7" ht="12.75">
      <c r="A10" s="209">
        <v>1994</v>
      </c>
      <c r="B10" s="209">
        <v>1770</v>
      </c>
      <c r="C10" s="209">
        <v>4330</v>
      </c>
      <c r="D10" s="209"/>
      <c r="E10" s="209"/>
      <c r="F10" s="209"/>
      <c r="G10" s="209"/>
    </row>
    <row r="11" spans="1:7" ht="12.75">
      <c r="A11" s="209">
        <v>1995</v>
      </c>
      <c r="B11" s="209">
        <v>26790</v>
      </c>
      <c r="C11" s="209">
        <v>21250</v>
      </c>
      <c r="D11" s="209"/>
      <c r="E11" s="209"/>
      <c r="F11" s="209"/>
      <c r="G11" s="209"/>
    </row>
    <row r="12" spans="1:7" ht="12.75">
      <c r="A12" s="209">
        <v>1996</v>
      </c>
      <c r="B12" s="209">
        <v>5870</v>
      </c>
      <c r="C12" s="209">
        <v>13415</v>
      </c>
      <c r="D12" s="209"/>
      <c r="E12" s="209"/>
      <c r="F12" s="209"/>
      <c r="G12" s="209"/>
    </row>
    <row r="13" spans="1:7" ht="12.75">
      <c r="A13" s="209">
        <v>1997</v>
      </c>
      <c r="B13" s="209">
        <v>12865</v>
      </c>
      <c r="C13" s="209">
        <v>7835</v>
      </c>
      <c r="D13" s="209">
        <v>21700</v>
      </c>
      <c r="E13" s="209">
        <v>19200</v>
      </c>
      <c r="F13" s="209">
        <v>55.17</v>
      </c>
      <c r="G13" s="209">
        <v>57.72</v>
      </c>
    </row>
    <row r="14" spans="1:7" ht="12.75">
      <c r="A14" s="209">
        <v>1998</v>
      </c>
      <c r="B14" s="209">
        <v>13785</v>
      </c>
      <c r="C14" s="209">
        <v>38380</v>
      </c>
      <c r="D14" s="209">
        <v>50500</v>
      </c>
      <c r="E14" s="209">
        <v>39000</v>
      </c>
      <c r="F14" s="209">
        <v>9.85</v>
      </c>
      <c r="G14" s="209">
        <v>33.38</v>
      </c>
    </row>
    <row r="15" spans="1:7" ht="12.75">
      <c r="A15" s="209">
        <v>1999</v>
      </c>
      <c r="B15" s="209">
        <v>6955</v>
      </c>
      <c r="C15" s="209">
        <v>34505</v>
      </c>
      <c r="D15" s="209">
        <v>28200</v>
      </c>
      <c r="E15" s="209">
        <v>64300</v>
      </c>
      <c r="F15" s="209">
        <v>3.16</v>
      </c>
      <c r="G15" s="209">
        <v>50.74</v>
      </c>
    </row>
    <row r="16" spans="1:7" ht="12.75">
      <c r="A16" s="209">
        <v>2000</v>
      </c>
      <c r="B16" s="279">
        <v>2865</v>
      </c>
      <c r="C16" s="209">
        <v>6515</v>
      </c>
      <c r="D16" s="209">
        <v>17500</v>
      </c>
      <c r="E16" s="209">
        <v>42800</v>
      </c>
      <c r="F16" s="209">
        <v>0.64</v>
      </c>
      <c r="G16" s="209">
        <v>6.31</v>
      </c>
    </row>
    <row r="17" spans="1:7" ht="12.75">
      <c r="A17" s="209">
        <v>2001</v>
      </c>
      <c r="B17" s="209">
        <v>2510</v>
      </c>
      <c r="C17" s="209">
        <v>3660</v>
      </c>
      <c r="D17" s="209">
        <v>22500</v>
      </c>
      <c r="E17" s="209">
        <v>13800</v>
      </c>
      <c r="F17" s="209">
        <v>0.66</v>
      </c>
      <c r="G17" s="209">
        <v>1.61</v>
      </c>
    </row>
    <row r="18" spans="1:7" ht="12.75">
      <c r="A18" s="209">
        <v>2002</v>
      </c>
      <c r="B18" s="209">
        <v>1655</v>
      </c>
      <c r="C18" s="209">
        <v>465</v>
      </c>
      <c r="D18" s="209">
        <v>18700</v>
      </c>
      <c r="E18" s="209">
        <v>11400</v>
      </c>
      <c r="F18" s="209">
        <v>0.43</v>
      </c>
      <c r="G18" s="209">
        <v>0.11</v>
      </c>
    </row>
    <row r="19" spans="1:7" ht="12.75">
      <c r="A19" s="209">
        <v>2003</v>
      </c>
      <c r="B19" s="209">
        <v>3700</v>
      </c>
      <c r="C19" s="209">
        <v>4690</v>
      </c>
      <c r="D19" s="209">
        <v>35800</v>
      </c>
      <c r="E19" s="209">
        <v>24900</v>
      </c>
      <c r="F19" s="209">
        <v>1.52</v>
      </c>
      <c r="G19" s="209">
        <v>2.6</v>
      </c>
    </row>
    <row r="20" spans="1:7" ht="12.75">
      <c r="A20" s="209">
        <v>2004</v>
      </c>
      <c r="B20" s="209">
        <v>5971</v>
      </c>
      <c r="C20" s="209">
        <v>4022</v>
      </c>
      <c r="D20" s="209">
        <v>25200</v>
      </c>
      <c r="E20" s="209">
        <v>28600</v>
      </c>
      <c r="F20" s="209">
        <v>2.76</v>
      </c>
      <c r="G20" s="209">
        <v>2.23</v>
      </c>
    </row>
    <row r="21" spans="1:7" ht="12.75">
      <c r="A21" s="279">
        <v>2005</v>
      </c>
      <c r="B21" s="279">
        <v>10400</v>
      </c>
      <c r="C21" s="279">
        <v>14126</v>
      </c>
      <c r="D21" s="279">
        <v>48859</v>
      </c>
      <c r="E21" s="279">
        <v>52168</v>
      </c>
      <c r="F21" s="279">
        <v>4.6</v>
      </c>
      <c r="G21" s="279">
        <v>13.8</v>
      </c>
    </row>
  </sheetData>
  <mergeCells count="5">
    <mergeCell ref="B3:C3"/>
    <mergeCell ref="D3:E3"/>
    <mergeCell ref="F3:G3"/>
    <mergeCell ref="A1:G1"/>
    <mergeCell ref="A3:A5"/>
  </mergeCells>
  <printOptions/>
  <pageMargins left="0.75" right="0.75" top="1" bottom="1" header="0.5" footer="0.5"/>
  <pageSetup orientation="landscape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A1">
      <selection activeCell="B6" sqref="B6"/>
    </sheetView>
  </sheetViews>
  <sheetFormatPr defaultColWidth="9.140625" defaultRowHeight="12.75"/>
  <cols>
    <col min="1" max="1" width="29.8515625" style="15" bestFit="1" customWidth="1"/>
    <col min="2" max="13" width="7.8515625" style="15" bestFit="1" customWidth="1"/>
    <col min="14" max="16384" width="9.140625" style="15" customWidth="1"/>
  </cols>
  <sheetData>
    <row r="1" spans="1:16" ht="11.25">
      <c r="A1" s="440" t="s">
        <v>156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5"/>
      <c r="O1" s="45"/>
      <c r="P1" s="45"/>
    </row>
    <row r="2" spans="1:16" ht="12.75">
      <c r="A2" s="16" t="s">
        <v>0</v>
      </c>
      <c r="B2" s="1">
        <v>38378</v>
      </c>
      <c r="C2" s="1">
        <v>38411</v>
      </c>
      <c r="D2" s="1">
        <v>38471</v>
      </c>
      <c r="E2" s="1">
        <v>38503</v>
      </c>
      <c r="F2" s="1">
        <v>38524</v>
      </c>
      <c r="G2" s="1">
        <v>38541</v>
      </c>
      <c r="H2" s="1">
        <v>38554</v>
      </c>
      <c r="I2" s="1">
        <v>38581</v>
      </c>
      <c r="J2" s="1">
        <v>38595</v>
      </c>
      <c r="K2" s="1">
        <v>38610</v>
      </c>
      <c r="L2" s="1">
        <v>38624</v>
      </c>
      <c r="M2" s="1">
        <v>38653</v>
      </c>
      <c r="N2" s="1">
        <v>38686</v>
      </c>
      <c r="O2" s="20"/>
      <c r="P2" s="20"/>
    </row>
    <row r="3" spans="1:14" ht="12.75">
      <c r="A3" s="15" t="s">
        <v>1</v>
      </c>
      <c r="B3" s="9"/>
      <c r="C3" s="9">
        <v>0.009</v>
      </c>
      <c r="D3" s="9"/>
      <c r="E3" s="9">
        <v>0.027</v>
      </c>
      <c r="F3" s="9"/>
      <c r="G3" s="9"/>
      <c r="H3" s="9"/>
      <c r="I3"/>
      <c r="J3"/>
      <c r="K3"/>
      <c r="L3"/>
      <c r="M3"/>
      <c r="N3"/>
    </row>
    <row r="4" spans="1:14" ht="12.75">
      <c r="A4" s="15" t="s">
        <v>5</v>
      </c>
      <c r="B4"/>
      <c r="C4"/>
      <c r="D4"/>
      <c r="E4"/>
      <c r="F4"/>
      <c r="G4"/>
      <c r="H4"/>
      <c r="I4">
        <v>0.051</v>
      </c>
      <c r="J4"/>
      <c r="K4"/>
      <c r="L4"/>
      <c r="M4"/>
      <c r="N4"/>
    </row>
    <row r="5" spans="1:14" ht="12.75">
      <c r="A5" s="15" t="s">
        <v>6</v>
      </c>
      <c r="B5" s="9">
        <v>0.009</v>
      </c>
      <c r="C5" s="9">
        <v>0.03</v>
      </c>
      <c r="D5" s="9">
        <v>0.015</v>
      </c>
      <c r="E5" s="9">
        <v>0.011</v>
      </c>
      <c r="F5" s="9">
        <v>0.01</v>
      </c>
      <c r="G5" s="9">
        <v>0.007</v>
      </c>
      <c r="H5" s="9">
        <v>0.007</v>
      </c>
      <c r="I5">
        <v>0.015</v>
      </c>
      <c r="J5">
        <v>0.019</v>
      </c>
      <c r="K5">
        <v>0.007</v>
      </c>
      <c r="L5">
        <v>0.026</v>
      </c>
      <c r="M5">
        <v>0.007</v>
      </c>
      <c r="N5">
        <v>0.009</v>
      </c>
    </row>
  </sheetData>
  <mergeCells count="1">
    <mergeCell ref="A1:M1"/>
  </mergeCells>
  <printOptions/>
  <pageMargins left="0.75" right="0.75" top="1" bottom="1" header="0.5" footer="0.5"/>
  <pageSetup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X24"/>
  <sheetViews>
    <sheetView workbookViewId="0" topLeftCell="A1">
      <selection activeCell="Q13" sqref="Q13"/>
    </sheetView>
  </sheetViews>
  <sheetFormatPr defaultColWidth="9.140625" defaultRowHeight="12.75"/>
  <cols>
    <col min="1" max="1" width="29.8515625" style="15" bestFit="1" customWidth="1"/>
    <col min="2" max="2" width="6.00390625" style="15" bestFit="1" customWidth="1"/>
    <col min="3" max="3" width="6.140625" style="15" bestFit="1" customWidth="1"/>
    <col min="4" max="4" width="5.421875" style="15" bestFit="1" customWidth="1"/>
    <col min="5" max="5" width="6.28125" style="15" bestFit="1" customWidth="1"/>
    <col min="6" max="6" width="5.28125" style="15" bestFit="1" customWidth="1"/>
    <col min="7" max="7" width="6.140625" style="15" bestFit="1" customWidth="1"/>
    <col min="8" max="8" width="6.421875" style="15" bestFit="1" customWidth="1"/>
    <col min="9" max="9" width="6.140625" style="15" bestFit="1" customWidth="1"/>
    <col min="10" max="10" width="5.8515625" style="15" bestFit="1" customWidth="1"/>
    <col min="11" max="11" width="5.57421875" style="15" bestFit="1" customWidth="1"/>
    <col min="12" max="12" width="6.00390625" style="15" bestFit="1" customWidth="1"/>
    <col min="13" max="14" width="6.421875" style="15" bestFit="1" customWidth="1"/>
    <col min="15" max="15" width="7.421875" style="15" bestFit="1" customWidth="1"/>
    <col min="16" max="16" width="6.28125" style="15" bestFit="1" customWidth="1"/>
    <col min="17" max="17" width="5.8515625" style="15" bestFit="1" customWidth="1"/>
    <col min="18" max="19" width="6.140625" style="15" bestFit="1" customWidth="1"/>
    <col min="20" max="21" width="3.8515625" style="15" bestFit="1" customWidth="1"/>
    <col min="22" max="22" width="3.57421875" style="15" bestFit="1" customWidth="1"/>
    <col min="23" max="23" width="5.421875" style="15" bestFit="1" customWidth="1"/>
    <col min="24" max="24" width="5.8515625" style="15" bestFit="1" customWidth="1"/>
    <col min="25" max="16384" width="9.140625" style="15" customWidth="1"/>
  </cols>
  <sheetData>
    <row r="1" spans="1:20" ht="11.25">
      <c r="A1" s="440" t="s">
        <v>104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5"/>
      <c r="S1" s="45"/>
      <c r="T1" s="45"/>
    </row>
    <row r="2" spans="1:20" ht="12.75">
      <c r="A2" s="2" t="s">
        <v>0</v>
      </c>
      <c r="B2" s="30">
        <v>38378</v>
      </c>
      <c r="C2" s="30">
        <v>38411</v>
      </c>
      <c r="D2" s="30">
        <v>38420</v>
      </c>
      <c r="E2" s="30">
        <v>38440</v>
      </c>
      <c r="F2" s="30">
        <v>38449</v>
      </c>
      <c r="G2" s="30">
        <v>38471</v>
      </c>
      <c r="H2" s="30">
        <v>38503</v>
      </c>
      <c r="I2" s="30">
        <v>38524</v>
      </c>
      <c r="J2" s="30">
        <v>38541</v>
      </c>
      <c r="K2" s="30">
        <v>38554</v>
      </c>
      <c r="L2" s="30">
        <v>38568</v>
      </c>
      <c r="M2" s="30">
        <v>38581</v>
      </c>
      <c r="N2" s="30">
        <v>38595</v>
      </c>
      <c r="O2" s="30">
        <v>38610</v>
      </c>
      <c r="P2" s="30">
        <v>38624</v>
      </c>
      <c r="Q2" s="30">
        <v>38653</v>
      </c>
      <c r="R2" s="30">
        <v>38686</v>
      </c>
      <c r="S2" s="30">
        <v>38708</v>
      </c>
      <c r="T2" s="30"/>
    </row>
    <row r="3" spans="1:19" ht="12.75">
      <c r="A3" s="14" t="s">
        <v>1</v>
      </c>
      <c r="B3"/>
      <c r="C3">
        <v>9.2</v>
      </c>
      <c r="D3"/>
      <c r="E3">
        <v>12.8</v>
      </c>
      <c r="F3">
        <v>10.5</v>
      </c>
      <c r="G3"/>
      <c r="H3">
        <v>10.1</v>
      </c>
      <c r="I3">
        <v>15</v>
      </c>
      <c r="J3">
        <v>12.5</v>
      </c>
      <c r="K3">
        <v>10.9</v>
      </c>
      <c r="L3"/>
      <c r="M3">
        <v>12</v>
      </c>
      <c r="N3">
        <v>12.4</v>
      </c>
      <c r="O3">
        <v>10.9</v>
      </c>
      <c r="P3">
        <v>7.7</v>
      </c>
      <c r="Q3">
        <v>9</v>
      </c>
      <c r="R3">
        <v>6.6</v>
      </c>
      <c r="S3" t="s">
        <v>555</v>
      </c>
    </row>
    <row r="4" spans="1:19" ht="12.75">
      <c r="A4" s="14" t="s">
        <v>2</v>
      </c>
      <c r="B4"/>
      <c r="C4">
        <v>6.8</v>
      </c>
      <c r="D4"/>
      <c r="E4">
        <v>8.9</v>
      </c>
      <c r="F4">
        <v>7.9</v>
      </c>
      <c r="G4"/>
      <c r="H4">
        <v>9.3</v>
      </c>
      <c r="I4">
        <v>8</v>
      </c>
      <c r="J4">
        <v>6.8</v>
      </c>
      <c r="K4">
        <v>9.3</v>
      </c>
      <c r="L4"/>
      <c r="M4">
        <v>5.2</v>
      </c>
      <c r="N4">
        <v>11.2</v>
      </c>
      <c r="O4">
        <v>16</v>
      </c>
      <c r="P4">
        <v>6.8</v>
      </c>
      <c r="Q4">
        <v>8.4</v>
      </c>
      <c r="R4">
        <v>6.7</v>
      </c>
      <c r="S4" t="s">
        <v>555</v>
      </c>
    </row>
    <row r="5" spans="1:19" ht="12.75">
      <c r="A5" s="14" t="s">
        <v>3</v>
      </c>
      <c r="B5"/>
      <c r="C5">
        <v>7.4</v>
      </c>
      <c r="D5"/>
      <c r="E5">
        <v>8.2</v>
      </c>
      <c r="F5">
        <v>8.3</v>
      </c>
      <c r="G5"/>
      <c r="H5">
        <v>5.2</v>
      </c>
      <c r="I5">
        <v>13.6</v>
      </c>
      <c r="J5">
        <v>4.8</v>
      </c>
      <c r="K5">
        <v>5.2</v>
      </c>
      <c r="L5"/>
      <c r="M5">
        <v>5.4</v>
      </c>
      <c r="N5">
        <v>9.2</v>
      </c>
      <c r="O5">
        <v>13.7</v>
      </c>
      <c r="P5">
        <v>7.2</v>
      </c>
      <c r="Q5">
        <v>7.9</v>
      </c>
      <c r="R5">
        <v>5.9</v>
      </c>
      <c r="S5" t="s">
        <v>555</v>
      </c>
    </row>
    <row r="6" spans="1:19" ht="12.75">
      <c r="A6" s="14" t="s">
        <v>7</v>
      </c>
      <c r="B6">
        <v>7.2</v>
      </c>
      <c r="C6"/>
      <c r="D6"/>
      <c r="E6"/>
      <c r="F6"/>
      <c r="G6"/>
      <c r="H6">
        <v>19.1</v>
      </c>
      <c r="I6"/>
      <c r="J6"/>
      <c r="K6"/>
      <c r="L6"/>
      <c r="M6"/>
      <c r="N6"/>
      <c r="O6"/>
      <c r="P6"/>
      <c r="Q6"/>
      <c r="R6"/>
      <c r="S6"/>
    </row>
    <row r="7" spans="1:19" ht="12.75">
      <c r="A7" s="14" t="s">
        <v>541</v>
      </c>
      <c r="B7"/>
      <c r="C7"/>
      <c r="D7">
        <v>14.4</v>
      </c>
      <c r="E7">
        <v>7.9</v>
      </c>
      <c r="F7"/>
      <c r="G7"/>
      <c r="H7"/>
      <c r="I7"/>
      <c r="J7">
        <v>24.8</v>
      </c>
      <c r="K7"/>
      <c r="L7">
        <v>150.5</v>
      </c>
      <c r="M7"/>
      <c r="N7"/>
      <c r="O7"/>
      <c r="P7"/>
      <c r="Q7"/>
      <c r="R7"/>
      <c r="S7"/>
    </row>
    <row r="8" spans="1:19" ht="12.75">
      <c r="A8" s="14" t="s">
        <v>542</v>
      </c>
      <c r="B8"/>
      <c r="C8"/>
      <c r="D8">
        <v>10.6</v>
      </c>
      <c r="E8">
        <v>26.6</v>
      </c>
      <c r="F8"/>
      <c r="G8"/>
      <c r="H8"/>
      <c r="I8"/>
      <c r="J8">
        <v>5.7</v>
      </c>
      <c r="K8"/>
      <c r="L8">
        <v>117.5</v>
      </c>
      <c r="M8"/>
      <c r="N8"/>
      <c r="O8"/>
      <c r="P8"/>
      <c r="Q8"/>
      <c r="R8"/>
      <c r="S8"/>
    </row>
    <row r="9" spans="1:19" ht="12.75">
      <c r="A9" s="14" t="s">
        <v>4</v>
      </c>
      <c r="B9">
        <v>4.7</v>
      </c>
      <c r="C9">
        <v>5.2</v>
      </c>
      <c r="D9"/>
      <c r="E9">
        <v>6.9</v>
      </c>
      <c r="F9">
        <v>12.5</v>
      </c>
      <c r="G9"/>
      <c r="H9">
        <v>7.9</v>
      </c>
      <c r="I9">
        <v>13.2</v>
      </c>
      <c r="J9">
        <v>10.1</v>
      </c>
      <c r="K9">
        <v>17.5</v>
      </c>
      <c r="L9"/>
      <c r="M9">
        <v>12.7</v>
      </c>
      <c r="N9">
        <v>12</v>
      </c>
      <c r="O9">
        <v>14.9</v>
      </c>
      <c r="P9">
        <v>7</v>
      </c>
      <c r="Q9">
        <v>14.1</v>
      </c>
      <c r="R9">
        <v>4.2</v>
      </c>
      <c r="S9">
        <v>4.2</v>
      </c>
    </row>
    <row r="10" spans="1:19" ht="12.75">
      <c r="A10" s="14" t="s">
        <v>5</v>
      </c>
      <c r="B10">
        <v>28.6</v>
      </c>
      <c r="C10">
        <v>16.4</v>
      </c>
      <c r="D10"/>
      <c r="E10">
        <v>31.1</v>
      </c>
      <c r="F10">
        <v>290</v>
      </c>
      <c r="G10"/>
      <c r="H10">
        <v>73.4</v>
      </c>
      <c r="I10">
        <v>25</v>
      </c>
      <c r="J10">
        <v>13.3</v>
      </c>
      <c r="K10" s="195" t="s">
        <v>556</v>
      </c>
      <c r="L10"/>
      <c r="M10">
        <v>138.5</v>
      </c>
      <c r="N10" s="195">
        <v>0</v>
      </c>
      <c r="O10">
        <v>11.1</v>
      </c>
      <c r="P10" s="195">
        <v>0</v>
      </c>
      <c r="Q10">
        <v>22.9</v>
      </c>
      <c r="R10">
        <v>35.6</v>
      </c>
      <c r="S10">
        <v>37</v>
      </c>
    </row>
    <row r="11" spans="1:19" ht="12.75">
      <c r="A11" s="14" t="s">
        <v>6</v>
      </c>
      <c r="B11">
        <v>0</v>
      </c>
      <c r="C11">
        <v>8</v>
      </c>
      <c r="D11"/>
      <c r="E11">
        <v>4.6</v>
      </c>
      <c r="F11">
        <v>24.2</v>
      </c>
      <c r="G11">
        <v>48</v>
      </c>
      <c r="H11">
        <v>29.4</v>
      </c>
      <c r="I11">
        <v>8.8</v>
      </c>
      <c r="J11">
        <v>11.6</v>
      </c>
      <c r="K11">
        <v>8.6</v>
      </c>
      <c r="L11"/>
      <c r="M11">
        <v>11.1</v>
      </c>
      <c r="N11">
        <v>10.2</v>
      </c>
      <c r="O11">
        <v>4.8</v>
      </c>
      <c r="P11">
        <v>5.7</v>
      </c>
      <c r="Q11">
        <v>4.2</v>
      </c>
      <c r="R11">
        <v>4.8</v>
      </c>
      <c r="S11">
        <v>0</v>
      </c>
    </row>
    <row r="12" spans="1:24" ht="22.5">
      <c r="A12" s="19" t="s">
        <v>0</v>
      </c>
      <c r="B12" s="45" t="s">
        <v>105</v>
      </c>
      <c r="C12" s="45" t="s">
        <v>106</v>
      </c>
      <c r="D12" s="45" t="s">
        <v>107</v>
      </c>
      <c r="E12" s="45" t="s">
        <v>108</v>
      </c>
      <c r="F12" s="45" t="s">
        <v>109</v>
      </c>
      <c r="G12" s="45" t="s">
        <v>110</v>
      </c>
      <c r="H12" s="45" t="s">
        <v>111</v>
      </c>
      <c r="I12" s="45" t="s">
        <v>112</v>
      </c>
      <c r="J12" s="45" t="s">
        <v>113</v>
      </c>
      <c r="K12" s="45" t="s">
        <v>114</v>
      </c>
      <c r="L12" s="45" t="s">
        <v>115</v>
      </c>
      <c r="M12" s="45" t="s">
        <v>116</v>
      </c>
      <c r="N12" s="45" t="s">
        <v>474</v>
      </c>
      <c r="O12" s="211" t="s">
        <v>475</v>
      </c>
      <c r="U12" s="15" t="s">
        <v>503</v>
      </c>
      <c r="V12" s="15" t="s">
        <v>344</v>
      </c>
      <c r="W12" s="15" t="s">
        <v>505</v>
      </c>
      <c r="X12" s="15" t="s">
        <v>507</v>
      </c>
    </row>
    <row r="13" spans="1:24" ht="11.25">
      <c r="A13" s="14" t="s">
        <v>1</v>
      </c>
      <c r="B13" s="44"/>
      <c r="C13" s="44">
        <f>C3</f>
        <v>9.2</v>
      </c>
      <c r="D13" s="44">
        <f aca="true" t="shared" si="0" ref="D13:E15">E3</f>
        <v>12.8</v>
      </c>
      <c r="E13" s="44">
        <f t="shared" si="0"/>
        <v>10.5</v>
      </c>
      <c r="F13" s="44">
        <f>H3</f>
        <v>10.1</v>
      </c>
      <c r="G13" s="44">
        <f>I3</f>
        <v>15</v>
      </c>
      <c r="H13" s="44">
        <f>AVERAGE(J3:K3)</f>
        <v>11.7</v>
      </c>
      <c r="I13" s="44">
        <f>AVERAGE(M3:N3)</f>
        <v>12.2</v>
      </c>
      <c r="J13" s="44">
        <f>AVERAGE(O3:P3)</f>
        <v>9.3</v>
      </c>
      <c r="K13" s="44">
        <f>Q3</f>
        <v>9</v>
      </c>
      <c r="L13" s="44">
        <f>R3</f>
        <v>6.6</v>
      </c>
      <c r="M13" s="44"/>
      <c r="N13" s="44">
        <f>AVERAGE(B13:M13)</f>
        <v>10.639999999999999</v>
      </c>
      <c r="O13" s="44">
        <f>AVERAGE(H13:J13)</f>
        <v>11.066666666666668</v>
      </c>
      <c r="P13" s="44">
        <f>AVERAGE(B13:L15)</f>
        <v>8.976666666666665</v>
      </c>
      <c r="Q13" s="44">
        <f>AVERAGE(H13:J15)</f>
        <v>9.288888888888888</v>
      </c>
      <c r="T13" s="15" t="s">
        <v>105</v>
      </c>
      <c r="U13" s="44">
        <f>B21</f>
        <v>0</v>
      </c>
      <c r="V13" s="44">
        <f>B20</f>
        <v>28.6</v>
      </c>
      <c r="W13" s="44">
        <f>B19</f>
        <v>4.7</v>
      </c>
      <c r="X13" s="44"/>
    </row>
    <row r="14" spans="1:24" ht="11.25">
      <c r="A14" s="14" t="s">
        <v>2</v>
      </c>
      <c r="B14" s="44"/>
      <c r="C14" s="44">
        <f aca="true" t="shared" si="1" ref="C14:C21">C4</f>
        <v>6.8</v>
      </c>
      <c r="D14" s="44">
        <f t="shared" si="0"/>
        <v>8.9</v>
      </c>
      <c r="E14" s="44">
        <f t="shared" si="0"/>
        <v>7.9</v>
      </c>
      <c r="F14" s="44">
        <f aca="true" t="shared" si="2" ref="F14:F21">H4</f>
        <v>9.3</v>
      </c>
      <c r="G14" s="44">
        <f aca="true" t="shared" si="3" ref="G14:G21">I4</f>
        <v>8</v>
      </c>
      <c r="H14" s="44">
        <f aca="true" t="shared" si="4" ref="H14:H21">AVERAGE(J4:K4)</f>
        <v>8.05</v>
      </c>
      <c r="I14" s="44">
        <f aca="true" t="shared" si="5" ref="I14:I21">AVERAGE(M4:N4)</f>
        <v>8.2</v>
      </c>
      <c r="J14" s="44">
        <f aca="true" t="shared" si="6" ref="J14:J21">AVERAGE(O4:P4)</f>
        <v>11.4</v>
      </c>
      <c r="K14" s="44">
        <f aca="true" t="shared" si="7" ref="K14:K21">Q4</f>
        <v>8.4</v>
      </c>
      <c r="L14" s="44">
        <f aca="true" t="shared" si="8" ref="L14:L21">R4</f>
        <v>6.7</v>
      </c>
      <c r="M14" s="44"/>
      <c r="N14" s="44">
        <f aca="true" t="shared" si="9" ref="N14:N21">AVERAGE(B14:M14)</f>
        <v>8.365000000000002</v>
      </c>
      <c r="O14" s="44">
        <f>AVERAGE(H14:J14)</f>
        <v>9.216666666666667</v>
      </c>
      <c r="P14" s="44"/>
      <c r="Q14" s="44"/>
      <c r="T14" s="15" t="s">
        <v>106</v>
      </c>
      <c r="U14" s="44">
        <f>C21</f>
        <v>8</v>
      </c>
      <c r="V14" s="44">
        <f>C20</f>
        <v>16.4</v>
      </c>
      <c r="W14" s="44">
        <f>C19</f>
        <v>5.2</v>
      </c>
      <c r="X14" s="44">
        <f>AVERAGE(C13:C15)</f>
        <v>7.8</v>
      </c>
    </row>
    <row r="15" spans="1:24" ht="11.25">
      <c r="A15" s="14" t="s">
        <v>3</v>
      </c>
      <c r="B15" s="44"/>
      <c r="C15" s="44">
        <f t="shared" si="1"/>
        <v>7.4</v>
      </c>
      <c r="D15" s="44">
        <f t="shared" si="0"/>
        <v>8.2</v>
      </c>
      <c r="E15" s="44">
        <f t="shared" si="0"/>
        <v>8.3</v>
      </c>
      <c r="F15" s="44">
        <f t="shared" si="2"/>
        <v>5.2</v>
      </c>
      <c r="G15" s="44">
        <f t="shared" si="3"/>
        <v>13.6</v>
      </c>
      <c r="H15" s="44">
        <f t="shared" si="4"/>
        <v>5</v>
      </c>
      <c r="I15" s="44">
        <f t="shared" si="5"/>
        <v>7.3</v>
      </c>
      <c r="J15" s="44">
        <f t="shared" si="6"/>
        <v>10.45</v>
      </c>
      <c r="K15" s="44">
        <f t="shared" si="7"/>
        <v>7.9</v>
      </c>
      <c r="L15" s="44">
        <f t="shared" si="8"/>
        <v>5.9</v>
      </c>
      <c r="M15" s="44"/>
      <c r="N15" s="44">
        <f t="shared" si="9"/>
        <v>7.925</v>
      </c>
      <c r="O15" s="44">
        <f>AVERAGE(H15:J15)</f>
        <v>7.583333333333333</v>
      </c>
      <c r="P15" s="44"/>
      <c r="Q15" s="44"/>
      <c r="T15" s="15" t="s">
        <v>107</v>
      </c>
      <c r="U15" s="44">
        <f>D21</f>
        <v>4.6</v>
      </c>
      <c r="V15" s="44">
        <f>D20</f>
        <v>31.1</v>
      </c>
      <c r="W15" s="44">
        <f>D19</f>
        <v>6.9</v>
      </c>
      <c r="X15" s="44">
        <f>AVERAGE(D13:D15)</f>
        <v>9.966666666666667</v>
      </c>
    </row>
    <row r="16" spans="1:24" ht="11.25">
      <c r="A16" s="14" t="s">
        <v>7</v>
      </c>
      <c r="B16" s="44">
        <f aca="true" t="shared" si="10" ref="B16:B21">B6</f>
        <v>7.2</v>
      </c>
      <c r="C16" s="44"/>
      <c r="D16" s="44"/>
      <c r="E16" s="44"/>
      <c r="F16" s="44">
        <f t="shared" si="2"/>
        <v>19.1</v>
      </c>
      <c r="G16" s="44"/>
      <c r="H16" s="44"/>
      <c r="I16" s="44"/>
      <c r="J16" s="44"/>
      <c r="K16" s="44"/>
      <c r="L16" s="44"/>
      <c r="M16" s="44"/>
      <c r="N16" s="44">
        <f t="shared" si="9"/>
        <v>13.15</v>
      </c>
      <c r="O16" s="44"/>
      <c r="P16" s="44"/>
      <c r="Q16" s="44"/>
      <c r="T16" s="15" t="s">
        <v>108</v>
      </c>
      <c r="U16" s="44">
        <f>E21</f>
        <v>24.2</v>
      </c>
      <c r="V16" s="44">
        <f>E20</f>
        <v>290</v>
      </c>
      <c r="W16" s="44">
        <f>E19</f>
        <v>12.5</v>
      </c>
      <c r="X16" s="44">
        <f>AVERAGE(E13:E15)</f>
        <v>8.9</v>
      </c>
    </row>
    <row r="17" spans="1:24" ht="11.25">
      <c r="A17" s="14" t="s">
        <v>541</v>
      </c>
      <c r="B17" s="44"/>
      <c r="C17" s="44"/>
      <c r="D17" s="44">
        <f>E7</f>
        <v>7.9</v>
      </c>
      <c r="E17" s="44"/>
      <c r="F17" s="44"/>
      <c r="G17" s="44"/>
      <c r="H17" s="44">
        <f t="shared" si="4"/>
        <v>24.8</v>
      </c>
      <c r="I17" s="44">
        <f>L7</f>
        <v>150.5</v>
      </c>
      <c r="J17" s="44"/>
      <c r="K17" s="44"/>
      <c r="L17" s="44"/>
      <c r="M17" s="44"/>
      <c r="N17" s="44">
        <f t="shared" si="9"/>
        <v>61.06666666666666</v>
      </c>
      <c r="O17" s="44"/>
      <c r="P17" s="44"/>
      <c r="Q17" s="44"/>
      <c r="T17" s="15" t="s">
        <v>109</v>
      </c>
      <c r="U17" s="44">
        <f>F21</f>
        <v>29.4</v>
      </c>
      <c r="V17" s="44">
        <f>F20</f>
        <v>73.4</v>
      </c>
      <c r="W17" s="44">
        <f>F19</f>
        <v>7.9</v>
      </c>
      <c r="X17" s="44">
        <f>AVERAGE(F13:F15)</f>
        <v>8.2</v>
      </c>
    </row>
    <row r="18" spans="1:24" ht="11.25">
      <c r="A18" s="14" t="s">
        <v>542</v>
      </c>
      <c r="B18" s="44"/>
      <c r="C18" s="44"/>
      <c r="D18" s="44">
        <f>E8</f>
        <v>26.6</v>
      </c>
      <c r="E18" s="44"/>
      <c r="F18" s="44"/>
      <c r="G18" s="44"/>
      <c r="H18" s="44">
        <f t="shared" si="4"/>
        <v>5.7</v>
      </c>
      <c r="I18" s="44">
        <f>L8</f>
        <v>117.5</v>
      </c>
      <c r="J18" s="44"/>
      <c r="K18" s="44"/>
      <c r="L18" s="44"/>
      <c r="M18" s="44"/>
      <c r="N18" s="44">
        <f t="shared" si="9"/>
        <v>49.93333333333334</v>
      </c>
      <c r="O18" s="44"/>
      <c r="P18" s="44"/>
      <c r="Q18" s="44"/>
      <c r="T18" s="15" t="s">
        <v>110</v>
      </c>
      <c r="U18" s="44">
        <f>G21</f>
        <v>8.8</v>
      </c>
      <c r="V18" s="44">
        <f>G20</f>
        <v>25</v>
      </c>
      <c r="W18" s="44">
        <f>G19</f>
        <v>13.2</v>
      </c>
      <c r="X18" s="44">
        <f>AVERAGE(G13:G15)</f>
        <v>12.200000000000001</v>
      </c>
    </row>
    <row r="19" spans="1:24" ht="11.25">
      <c r="A19" s="14" t="s">
        <v>4</v>
      </c>
      <c r="B19" s="44">
        <f t="shared" si="10"/>
        <v>4.7</v>
      </c>
      <c r="C19" s="44">
        <f t="shared" si="1"/>
        <v>5.2</v>
      </c>
      <c r="D19" s="44">
        <f>E9</f>
        <v>6.9</v>
      </c>
      <c r="E19" s="44">
        <f>F9</f>
        <v>12.5</v>
      </c>
      <c r="F19" s="44">
        <f t="shared" si="2"/>
        <v>7.9</v>
      </c>
      <c r="G19" s="44">
        <f t="shared" si="3"/>
        <v>13.2</v>
      </c>
      <c r="H19" s="44">
        <f t="shared" si="4"/>
        <v>13.8</v>
      </c>
      <c r="I19" s="44">
        <f t="shared" si="5"/>
        <v>12.35</v>
      </c>
      <c r="J19" s="44">
        <f t="shared" si="6"/>
        <v>10.95</v>
      </c>
      <c r="K19" s="44">
        <f t="shared" si="7"/>
        <v>14.1</v>
      </c>
      <c r="L19" s="44">
        <f t="shared" si="8"/>
        <v>4.2</v>
      </c>
      <c r="M19" s="44">
        <f>S9</f>
        <v>4.2</v>
      </c>
      <c r="N19" s="44">
        <f t="shared" si="9"/>
        <v>9.166666666666666</v>
      </c>
      <c r="O19" s="44">
        <f>AVERAGE(G19:J19)</f>
        <v>12.575</v>
      </c>
      <c r="P19" s="44"/>
      <c r="Q19" s="44"/>
      <c r="T19" s="15" t="s">
        <v>111</v>
      </c>
      <c r="U19" s="44">
        <f>H21</f>
        <v>10.1</v>
      </c>
      <c r="V19" s="44">
        <f>H20</f>
        <v>13.3</v>
      </c>
      <c r="W19" s="44">
        <f>H19</f>
        <v>13.8</v>
      </c>
      <c r="X19" s="44">
        <f>AVERAGE(B19:B21)</f>
        <v>11.100000000000001</v>
      </c>
    </row>
    <row r="20" spans="1:24" ht="11.25">
      <c r="A20" s="14" t="s">
        <v>5</v>
      </c>
      <c r="B20" s="44">
        <f t="shared" si="10"/>
        <v>28.6</v>
      </c>
      <c r="C20" s="44">
        <f t="shared" si="1"/>
        <v>16.4</v>
      </c>
      <c r="D20" s="44">
        <f>E10</f>
        <v>31.1</v>
      </c>
      <c r="E20" s="44">
        <f>F10</f>
        <v>290</v>
      </c>
      <c r="F20" s="44">
        <f t="shared" si="2"/>
        <v>73.4</v>
      </c>
      <c r="G20" s="44">
        <f t="shared" si="3"/>
        <v>25</v>
      </c>
      <c r="H20" s="44">
        <f t="shared" si="4"/>
        <v>13.3</v>
      </c>
      <c r="I20" s="44">
        <f t="shared" si="5"/>
        <v>69.25</v>
      </c>
      <c r="J20" s="44">
        <f t="shared" si="6"/>
        <v>5.55</v>
      </c>
      <c r="K20" s="44">
        <f t="shared" si="7"/>
        <v>22.9</v>
      </c>
      <c r="L20" s="44">
        <f t="shared" si="8"/>
        <v>35.6</v>
      </c>
      <c r="M20" s="44">
        <f>S10</f>
        <v>37</v>
      </c>
      <c r="N20" s="44">
        <f t="shared" si="9"/>
        <v>54.008333333333326</v>
      </c>
      <c r="O20" s="44">
        <f>AVERAGE(G20:J20)</f>
        <v>28.275</v>
      </c>
      <c r="T20" s="15" t="s">
        <v>112</v>
      </c>
      <c r="U20" s="44">
        <f>I21</f>
        <v>10.649999999999999</v>
      </c>
      <c r="V20" s="44">
        <f>I20</f>
        <v>69.25</v>
      </c>
      <c r="W20" s="44">
        <f>I19</f>
        <v>12.35</v>
      </c>
      <c r="X20" s="44">
        <f>AVERAGE(H13:H15)</f>
        <v>8.25</v>
      </c>
    </row>
    <row r="21" spans="1:24" ht="11.25">
      <c r="A21" s="14" t="s">
        <v>6</v>
      </c>
      <c r="B21" s="44">
        <f t="shared" si="10"/>
        <v>0</v>
      </c>
      <c r="C21" s="44">
        <f t="shared" si="1"/>
        <v>8</v>
      </c>
      <c r="D21" s="44">
        <f>E11</f>
        <v>4.6</v>
      </c>
      <c r="E21" s="44">
        <f>F11</f>
        <v>24.2</v>
      </c>
      <c r="F21" s="44">
        <f t="shared" si="2"/>
        <v>29.4</v>
      </c>
      <c r="G21" s="44">
        <f t="shared" si="3"/>
        <v>8.8</v>
      </c>
      <c r="H21" s="44">
        <f t="shared" si="4"/>
        <v>10.1</v>
      </c>
      <c r="I21" s="44">
        <f t="shared" si="5"/>
        <v>10.649999999999999</v>
      </c>
      <c r="J21" s="44">
        <f t="shared" si="6"/>
        <v>5.25</v>
      </c>
      <c r="K21" s="44">
        <f t="shared" si="7"/>
        <v>4.2</v>
      </c>
      <c r="L21" s="44">
        <f t="shared" si="8"/>
        <v>4.8</v>
      </c>
      <c r="M21" s="44">
        <f>S11</f>
        <v>0</v>
      </c>
      <c r="N21" s="44">
        <f t="shared" si="9"/>
        <v>9.166666666666664</v>
      </c>
      <c r="O21" s="44">
        <f>AVERAGE(G21:J21)</f>
        <v>8.7</v>
      </c>
      <c r="T21" s="15" t="s">
        <v>113</v>
      </c>
      <c r="U21" s="44">
        <f>J21</f>
        <v>5.25</v>
      </c>
      <c r="V21" s="44">
        <f>J20</f>
        <v>5.55</v>
      </c>
      <c r="W21" s="44">
        <f>J19</f>
        <v>10.95</v>
      </c>
      <c r="X21" s="44">
        <f>AVERAGE(J13:J15)</f>
        <v>10.383333333333335</v>
      </c>
    </row>
    <row r="22" spans="20:24" ht="11.25">
      <c r="T22" s="15" t="s">
        <v>114</v>
      </c>
      <c r="U22" s="44">
        <f>K21</f>
        <v>4.2</v>
      </c>
      <c r="V22" s="44">
        <f>K20</f>
        <v>22.9</v>
      </c>
      <c r="W22" s="44">
        <f>K19</f>
        <v>14.1</v>
      </c>
      <c r="X22" s="44">
        <f>AVERAGE(K13:K15)</f>
        <v>8.433333333333332</v>
      </c>
    </row>
    <row r="23" spans="20:24" ht="11.25">
      <c r="T23" s="15" t="s">
        <v>115</v>
      </c>
      <c r="U23" s="44">
        <f>L21</f>
        <v>4.8</v>
      </c>
      <c r="V23" s="44">
        <f>L20</f>
        <v>35.6</v>
      </c>
      <c r="W23" s="44">
        <f>L19</f>
        <v>4.2</v>
      </c>
      <c r="X23" s="44">
        <f>AVERAGE(L13:L15)</f>
        <v>6.400000000000001</v>
      </c>
    </row>
    <row r="24" spans="20:24" ht="11.25">
      <c r="T24" s="15" t="s">
        <v>116</v>
      </c>
      <c r="U24" s="44">
        <f>M21</f>
        <v>0</v>
      </c>
      <c r="V24" s="44">
        <f>M20</f>
        <v>37</v>
      </c>
      <c r="W24" s="44">
        <f>M19</f>
        <v>4.2</v>
      </c>
      <c r="X24" s="44"/>
    </row>
  </sheetData>
  <mergeCells count="1">
    <mergeCell ref="A1:Q1"/>
  </mergeCells>
  <printOptions/>
  <pageMargins left="0.75" right="0.75" top="1" bottom="1" header="0.5" footer="0.5"/>
  <pageSetup orientation="landscape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A1">
      <selection activeCell="C8" sqref="C8"/>
    </sheetView>
  </sheetViews>
  <sheetFormatPr defaultColWidth="9.140625" defaultRowHeight="12.75"/>
  <cols>
    <col min="1" max="1" width="29.8515625" style="15" bestFit="1" customWidth="1"/>
    <col min="2" max="13" width="7.8515625" style="15" bestFit="1" customWidth="1"/>
    <col min="14" max="16384" width="9.140625" style="15" customWidth="1"/>
  </cols>
  <sheetData>
    <row r="1" spans="1:16" ht="11.25">
      <c r="A1" s="440" t="s">
        <v>137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5"/>
      <c r="P1" s="45"/>
    </row>
    <row r="2" spans="1:16" ht="12.75">
      <c r="A2" s="16" t="s">
        <v>0</v>
      </c>
      <c r="B2" s="1">
        <v>38411</v>
      </c>
      <c r="C2" s="1">
        <v>38440</v>
      </c>
      <c r="D2" s="1">
        <v>38440</v>
      </c>
      <c r="E2" s="1">
        <v>38449</v>
      </c>
      <c r="F2" s="1">
        <v>38503</v>
      </c>
      <c r="G2" s="1">
        <v>38524</v>
      </c>
      <c r="H2" s="1">
        <v>38541</v>
      </c>
      <c r="I2" s="1">
        <v>38554</v>
      </c>
      <c r="J2" s="1">
        <v>38581</v>
      </c>
      <c r="K2" s="1">
        <v>38595</v>
      </c>
      <c r="L2" s="1">
        <v>38610</v>
      </c>
      <c r="M2" s="1">
        <v>38624</v>
      </c>
      <c r="N2" s="1">
        <v>38653</v>
      </c>
      <c r="O2" s="1">
        <v>38686</v>
      </c>
      <c r="P2" s="1">
        <v>38708</v>
      </c>
    </row>
    <row r="3" spans="1:16" ht="12.75">
      <c r="A3" s="15" t="s">
        <v>1</v>
      </c>
      <c r="B3">
        <v>10</v>
      </c>
      <c r="C3">
        <v>10</v>
      </c>
      <c r="D3">
        <v>10</v>
      </c>
      <c r="E3">
        <v>10</v>
      </c>
      <c r="F3">
        <v>11</v>
      </c>
      <c r="G3">
        <v>11</v>
      </c>
      <c r="H3">
        <v>12</v>
      </c>
      <c r="I3">
        <v>12</v>
      </c>
      <c r="J3">
        <v>12</v>
      </c>
      <c r="K3">
        <v>10</v>
      </c>
      <c r="L3">
        <v>11</v>
      </c>
      <c r="M3">
        <v>10</v>
      </c>
      <c r="N3">
        <v>11</v>
      </c>
      <c r="O3">
        <v>11</v>
      </c>
      <c r="P3" t="s">
        <v>575</v>
      </c>
    </row>
    <row r="4" spans="1:16" ht="12.75">
      <c r="A4" s="15" t="s">
        <v>2</v>
      </c>
      <c r="B4">
        <v>4</v>
      </c>
      <c r="C4">
        <v>3</v>
      </c>
      <c r="D4">
        <v>3</v>
      </c>
      <c r="E4">
        <v>3</v>
      </c>
      <c r="F4">
        <v>6</v>
      </c>
      <c r="G4">
        <v>5</v>
      </c>
      <c r="H4">
        <v>8</v>
      </c>
      <c r="I4">
        <v>6</v>
      </c>
      <c r="J4">
        <v>5</v>
      </c>
      <c r="K4">
        <v>3</v>
      </c>
      <c r="L4">
        <v>2</v>
      </c>
      <c r="M4">
        <v>3</v>
      </c>
      <c r="N4">
        <v>3.5</v>
      </c>
      <c r="O4">
        <v>4</v>
      </c>
      <c r="P4" t="s">
        <v>575</v>
      </c>
    </row>
    <row r="5" spans="1:16" ht="12.75">
      <c r="A5" s="15" t="s">
        <v>3</v>
      </c>
      <c r="B5">
        <v>1</v>
      </c>
      <c r="C5">
        <v>0.75</v>
      </c>
      <c r="D5">
        <v>0.75</v>
      </c>
      <c r="E5">
        <v>0.75</v>
      </c>
      <c r="F5">
        <v>1.5</v>
      </c>
      <c r="G5">
        <v>1.25</v>
      </c>
      <c r="H5">
        <v>2</v>
      </c>
      <c r="I5">
        <v>1.5</v>
      </c>
      <c r="J5">
        <v>1.25</v>
      </c>
      <c r="K5">
        <v>0.75</v>
      </c>
      <c r="L5">
        <v>1</v>
      </c>
      <c r="M5">
        <v>0.75</v>
      </c>
      <c r="N5">
        <v>1.25</v>
      </c>
      <c r="O5">
        <v>1</v>
      </c>
      <c r="P5" t="s">
        <v>575</v>
      </c>
    </row>
  </sheetData>
  <mergeCells count="1">
    <mergeCell ref="A1:N1"/>
  </mergeCells>
  <printOptions/>
  <pageMargins left="0.75" right="0.75" top="1" bottom="1" header="0.5" footer="0.5"/>
  <pageSetup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C7" sqref="C7"/>
    </sheetView>
  </sheetViews>
  <sheetFormatPr defaultColWidth="9.140625" defaultRowHeight="12.75"/>
  <cols>
    <col min="1" max="1" width="27.28125" style="0" bestFit="1" customWidth="1"/>
  </cols>
  <sheetData>
    <row r="1" spans="1:3" ht="12.75">
      <c r="A1" s="442" t="s">
        <v>136</v>
      </c>
      <c r="B1" s="442"/>
      <c r="C1" s="442"/>
    </row>
    <row r="2" spans="1:2" ht="12.75">
      <c r="A2" s="2" t="s">
        <v>0</v>
      </c>
      <c r="B2" s="1">
        <v>38581</v>
      </c>
    </row>
    <row r="3" spans="1:2" ht="12.75">
      <c r="A3" t="s">
        <v>8</v>
      </c>
      <c r="B3">
        <v>93.8</v>
      </c>
    </row>
  </sheetData>
  <mergeCells count="1">
    <mergeCell ref="A1:C1"/>
  </mergeCells>
  <printOptions/>
  <pageMargins left="0.75" right="0.75" top="1" bottom="1" header="0.5" footer="0.5"/>
  <pageSetup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selection activeCell="Q5" sqref="Q5"/>
    </sheetView>
  </sheetViews>
  <sheetFormatPr defaultColWidth="9.140625" defaultRowHeight="12.75"/>
  <cols>
    <col min="1" max="1" width="32.57421875" style="15" bestFit="1" customWidth="1"/>
    <col min="2" max="2" width="6.140625" style="15" bestFit="1" customWidth="1"/>
    <col min="3" max="4" width="6.28125" style="15" bestFit="1" customWidth="1"/>
    <col min="5" max="5" width="5.28125" style="15" bestFit="1" customWidth="1"/>
    <col min="6" max="6" width="6.421875" style="15" bestFit="1" customWidth="1"/>
    <col min="7" max="7" width="6.140625" style="15" bestFit="1" customWidth="1"/>
    <col min="8" max="8" width="4.7109375" style="15" bestFit="1" customWidth="1"/>
    <col min="9" max="9" width="5.57421875" style="15" bestFit="1" customWidth="1"/>
    <col min="10" max="11" width="6.421875" style="15" bestFit="1" customWidth="1"/>
    <col min="12" max="13" width="6.28125" style="15" bestFit="1" customWidth="1"/>
    <col min="14" max="14" width="5.8515625" style="15" bestFit="1" customWidth="1"/>
    <col min="15" max="16" width="6.140625" style="15" bestFit="1" customWidth="1"/>
    <col min="17" max="16384" width="9.140625" style="15" customWidth="1"/>
  </cols>
  <sheetData>
    <row r="1" spans="1:14" ht="11.25">
      <c r="A1" s="440" t="s">
        <v>119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5"/>
    </row>
    <row r="2" spans="1:16" ht="12.75">
      <c r="A2" s="2" t="s">
        <v>0</v>
      </c>
      <c r="B2" s="30">
        <v>38411</v>
      </c>
      <c r="C2" s="30">
        <v>38440</v>
      </c>
      <c r="D2" s="30">
        <v>38440</v>
      </c>
      <c r="E2" s="30">
        <v>38449</v>
      </c>
      <c r="F2" s="30">
        <v>38503</v>
      </c>
      <c r="G2" s="30">
        <v>38524</v>
      </c>
      <c r="H2" s="30">
        <v>38541</v>
      </c>
      <c r="I2" s="30">
        <v>38554</v>
      </c>
      <c r="J2" s="30">
        <v>38581</v>
      </c>
      <c r="K2" s="30">
        <v>38595</v>
      </c>
      <c r="L2" s="30">
        <v>38610</v>
      </c>
      <c r="M2" s="30">
        <v>38624</v>
      </c>
      <c r="N2" s="30">
        <v>38653</v>
      </c>
      <c r="O2" s="30">
        <v>38686</v>
      </c>
      <c r="P2" s="30">
        <v>38708</v>
      </c>
    </row>
    <row r="3" spans="1:18" ht="12.75">
      <c r="A3" t="s">
        <v>2</v>
      </c>
      <c r="B3">
        <v>2</v>
      </c>
      <c r="C3">
        <v>1.5</v>
      </c>
      <c r="D3" s="10">
        <v>1.5</v>
      </c>
      <c r="E3" s="10">
        <v>1.5</v>
      </c>
      <c r="F3" s="10">
        <v>3</v>
      </c>
      <c r="G3" s="10">
        <v>2.5</v>
      </c>
      <c r="H3" s="10">
        <v>4</v>
      </c>
      <c r="I3" s="10">
        <v>3</v>
      </c>
      <c r="J3" s="10">
        <v>2.5</v>
      </c>
      <c r="K3" s="10">
        <v>1.5</v>
      </c>
      <c r="L3">
        <v>1</v>
      </c>
      <c r="M3">
        <v>1.5</v>
      </c>
      <c r="N3">
        <v>1.75</v>
      </c>
      <c r="O3">
        <v>2</v>
      </c>
      <c r="P3"/>
      <c r="Q3" s="15">
        <f>AVERAGE(B3:O3)</f>
        <v>2.0892857142857144</v>
      </c>
      <c r="R3" s="36">
        <f>AVERAGE(H3:L3)</f>
        <v>2.4</v>
      </c>
    </row>
    <row r="4" spans="1:17" ht="11.25">
      <c r="A4" s="440" t="s">
        <v>120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5"/>
      <c r="O4" s="36"/>
      <c r="P4" s="36"/>
      <c r="Q4" s="36">
        <f>AVERAGE(B5:O5)</f>
        <v>6.877061538461538</v>
      </c>
    </row>
    <row r="5" spans="1:17" ht="11.25">
      <c r="A5" s="15" t="s">
        <v>2</v>
      </c>
      <c r="B5" s="36">
        <f>B3*3.2808</f>
        <v>6.5616</v>
      </c>
      <c r="C5" s="36">
        <f aca="true" t="shared" si="0" ref="C5:N5">C3*3.2808</f>
        <v>4.921200000000001</v>
      </c>
      <c r="D5" s="36">
        <f t="shared" si="0"/>
        <v>4.921200000000001</v>
      </c>
      <c r="E5" s="36">
        <f t="shared" si="0"/>
        <v>4.921200000000001</v>
      </c>
      <c r="F5" s="36">
        <f t="shared" si="0"/>
        <v>9.842400000000001</v>
      </c>
      <c r="G5" s="36">
        <f t="shared" si="0"/>
        <v>8.202</v>
      </c>
      <c r="H5" s="36">
        <f t="shared" si="0"/>
        <v>13.1232</v>
      </c>
      <c r="I5" s="36">
        <f t="shared" si="0"/>
        <v>9.842400000000001</v>
      </c>
      <c r="J5" s="36">
        <f t="shared" si="0"/>
        <v>8.202</v>
      </c>
      <c r="K5" s="36">
        <f t="shared" si="0"/>
        <v>4.921200000000001</v>
      </c>
      <c r="L5" s="36">
        <f t="shared" si="0"/>
        <v>3.2808</v>
      </c>
      <c r="M5" s="36">
        <f t="shared" si="0"/>
        <v>4.921200000000001</v>
      </c>
      <c r="N5" s="36">
        <f t="shared" si="0"/>
        <v>5.7414000000000005</v>
      </c>
      <c r="O5" s="36">
        <f>AVERAGE(B5:N5)</f>
        <v>6.877061538461538</v>
      </c>
      <c r="Q5" s="36">
        <f>AVERAGE(G5:L5)</f>
        <v>7.9286</v>
      </c>
    </row>
    <row r="6" spans="2:7" ht="11.25">
      <c r="B6" s="36"/>
      <c r="G6" s="36"/>
    </row>
    <row r="24" spans="2:3" ht="11.25">
      <c r="B24" s="15" t="s">
        <v>105</v>
      </c>
      <c r="C24" s="36">
        <f>B5</f>
        <v>6.5616</v>
      </c>
    </row>
    <row r="25" spans="2:3" ht="11.25">
      <c r="B25" s="15" t="s">
        <v>106</v>
      </c>
      <c r="C25" s="36">
        <f>C5</f>
        <v>4.921200000000001</v>
      </c>
    </row>
    <row r="26" spans="2:3" ht="11.25">
      <c r="B26" s="15" t="s">
        <v>107</v>
      </c>
      <c r="C26" s="36">
        <f>D5</f>
        <v>4.921200000000001</v>
      </c>
    </row>
    <row r="27" spans="2:3" ht="11.25">
      <c r="B27" s="15" t="s">
        <v>108</v>
      </c>
      <c r="C27" s="36">
        <f>E5</f>
        <v>4.921200000000001</v>
      </c>
    </row>
    <row r="28" spans="2:3" ht="11.25">
      <c r="B28" s="15" t="s">
        <v>109</v>
      </c>
      <c r="C28" s="36">
        <f>F5</f>
        <v>9.842400000000001</v>
      </c>
    </row>
    <row r="29" spans="2:3" ht="11.25">
      <c r="B29" s="15" t="s">
        <v>110</v>
      </c>
      <c r="C29" s="36">
        <f>G5</f>
        <v>8.202</v>
      </c>
    </row>
    <row r="30" spans="2:3" ht="11.25">
      <c r="B30" s="15" t="s">
        <v>111</v>
      </c>
      <c r="C30" s="36">
        <f>AVERAGE(H5:I5)</f>
        <v>11.482800000000001</v>
      </c>
    </row>
    <row r="31" spans="2:3" ht="11.25">
      <c r="B31" s="15" t="s">
        <v>112</v>
      </c>
      <c r="C31" s="36">
        <f>AVERAGE(J5:K5)</f>
        <v>6.5616</v>
      </c>
    </row>
    <row r="32" spans="2:3" ht="11.25">
      <c r="B32" s="15" t="s">
        <v>113</v>
      </c>
      <c r="C32" s="36">
        <f>AVERAGE(L5:M5)</f>
        <v>4.101000000000001</v>
      </c>
    </row>
    <row r="33" spans="2:3" ht="11.25">
      <c r="B33" s="15" t="s">
        <v>114</v>
      </c>
      <c r="C33" s="36">
        <f>N5</f>
        <v>5.7414000000000005</v>
      </c>
    </row>
    <row r="34" spans="2:3" ht="11.25">
      <c r="B34" s="15" t="s">
        <v>115</v>
      </c>
      <c r="C34" s="36">
        <f>O5</f>
        <v>6.877061538461538</v>
      </c>
    </row>
    <row r="35" spans="2:3" ht="11.25">
      <c r="B35" s="15" t="s">
        <v>116</v>
      </c>
      <c r="C35" s="36"/>
    </row>
  </sheetData>
  <mergeCells count="2">
    <mergeCell ref="A1:M1"/>
    <mergeCell ref="A4:M4"/>
  </mergeCells>
  <printOptions/>
  <pageMargins left="0.75" right="0.75" top="1" bottom="1" header="0.5" footer="0.5"/>
  <pageSetup orientation="landscape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R8"/>
  <sheetViews>
    <sheetView workbookViewId="0" topLeftCell="A1">
      <selection activeCell="L11" sqref="L11"/>
    </sheetView>
  </sheetViews>
  <sheetFormatPr defaultColWidth="9.140625" defaultRowHeight="12.75"/>
  <cols>
    <col min="1" max="1" width="29.8515625" style="15" bestFit="1" customWidth="1"/>
    <col min="2" max="14" width="7.8515625" style="15" bestFit="1" customWidth="1"/>
    <col min="15" max="16384" width="9.140625" style="15" customWidth="1"/>
  </cols>
  <sheetData>
    <row r="1" spans="1:18" ht="11.25">
      <c r="A1" s="440" t="s">
        <v>130</v>
      </c>
      <c r="B1" s="440"/>
      <c r="C1" s="440"/>
      <c r="D1" s="440"/>
      <c r="E1" s="440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13"/>
      <c r="R1" s="313"/>
    </row>
    <row r="2" spans="1:18" ht="12.75">
      <c r="A2" s="2" t="s">
        <v>0</v>
      </c>
      <c r="B2" s="1">
        <v>38378</v>
      </c>
      <c r="C2" s="1">
        <v>38411</v>
      </c>
      <c r="D2" s="1">
        <v>38440</v>
      </c>
      <c r="E2" s="1">
        <v>38581</v>
      </c>
      <c r="F2" s="287"/>
      <c r="G2" s="287"/>
      <c r="H2" s="287"/>
      <c r="I2" s="287"/>
      <c r="J2" s="287"/>
      <c r="K2" s="287"/>
      <c r="L2" s="287"/>
      <c r="M2" s="287"/>
      <c r="N2" s="287"/>
      <c r="O2" s="312"/>
      <c r="P2" s="312"/>
      <c r="Q2" s="287"/>
      <c r="R2" s="287"/>
    </row>
    <row r="3" spans="1:5" ht="12.75">
      <c r="A3" t="s">
        <v>1</v>
      </c>
      <c r="B3"/>
      <c r="C3">
        <v>0</v>
      </c>
      <c r="D3">
        <v>0</v>
      </c>
      <c r="E3">
        <v>0</v>
      </c>
    </row>
    <row r="4" spans="1:5" ht="12.75">
      <c r="A4" t="s">
        <v>2</v>
      </c>
      <c r="B4"/>
      <c r="C4"/>
      <c r="D4"/>
      <c r="E4">
        <v>0</v>
      </c>
    </row>
    <row r="5" spans="1:5" ht="12.75">
      <c r="A5" t="s">
        <v>3</v>
      </c>
      <c r="B5"/>
      <c r="C5"/>
      <c r="D5"/>
      <c r="E5">
        <v>0</v>
      </c>
    </row>
    <row r="6" spans="1:5" ht="12.75">
      <c r="A6" t="s">
        <v>4</v>
      </c>
      <c r="B6"/>
      <c r="C6"/>
      <c r="D6"/>
      <c r="E6">
        <v>0</v>
      </c>
    </row>
    <row r="7" spans="1:5" ht="12.75">
      <c r="A7" t="s">
        <v>5</v>
      </c>
      <c r="B7"/>
      <c r="C7"/>
      <c r="D7"/>
      <c r="E7">
        <v>0</v>
      </c>
    </row>
    <row r="8" spans="1:5" ht="12.75">
      <c r="A8" t="s">
        <v>6</v>
      </c>
      <c r="B8">
        <v>0</v>
      </c>
      <c r="C8">
        <v>0</v>
      </c>
      <c r="D8">
        <v>0</v>
      </c>
      <c r="E8">
        <v>0</v>
      </c>
    </row>
  </sheetData>
  <mergeCells count="1">
    <mergeCell ref="A1:E1"/>
  </mergeCells>
  <printOptions/>
  <pageMargins left="0.75" right="0.75" top="1" bottom="1" header="0.5" footer="0.5"/>
  <pageSetup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B2" sqref="B2:B3"/>
    </sheetView>
  </sheetViews>
  <sheetFormatPr defaultColWidth="9.140625" defaultRowHeight="12.75"/>
  <cols>
    <col min="1" max="1" width="27.28125" style="0" bestFit="1" customWidth="1"/>
  </cols>
  <sheetData>
    <row r="1" spans="1:3" ht="12.75">
      <c r="A1" s="442" t="s">
        <v>135</v>
      </c>
      <c r="B1" s="442"/>
      <c r="C1" s="442"/>
    </row>
    <row r="2" spans="1:2" ht="12.75">
      <c r="A2" s="2" t="s">
        <v>0</v>
      </c>
      <c r="B2" s="1">
        <v>38581</v>
      </c>
    </row>
    <row r="3" spans="1:2" ht="12.75">
      <c r="A3" t="s">
        <v>8</v>
      </c>
      <c r="B3">
        <v>0</v>
      </c>
    </row>
  </sheetData>
  <mergeCells count="1">
    <mergeCell ref="A1:C1"/>
  </mergeCells>
  <printOptions/>
  <pageMargins left="0.75" right="0.75" top="1" bottom="1" header="0.5" footer="0.5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2" sqref="B2:B3"/>
    </sheetView>
  </sheetViews>
  <sheetFormatPr defaultColWidth="9.140625" defaultRowHeight="12.75"/>
  <cols>
    <col min="1" max="1" width="27.28125" style="0" bestFit="1" customWidth="1"/>
  </cols>
  <sheetData>
    <row r="1" spans="1:2" ht="12.75">
      <c r="A1" s="442" t="s">
        <v>118</v>
      </c>
      <c r="B1" s="442"/>
    </row>
    <row r="2" spans="1:2" ht="12.75">
      <c r="A2" s="2" t="s">
        <v>0</v>
      </c>
      <c r="B2" s="1">
        <v>38581</v>
      </c>
    </row>
    <row r="3" spans="1:2" ht="12.75">
      <c r="A3" t="s">
        <v>8</v>
      </c>
      <c r="B3">
        <v>3.8</v>
      </c>
    </row>
  </sheetData>
  <mergeCells count="1">
    <mergeCell ref="A1:B1"/>
  </mergeCells>
  <printOptions/>
  <pageMargins left="0.75" right="0.75" top="1" bottom="1" header="0.5" footer="0.5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F12" sqref="F12"/>
    </sheetView>
  </sheetViews>
  <sheetFormatPr defaultColWidth="9.140625" defaultRowHeight="12.75"/>
  <cols>
    <col min="1" max="1" width="34.7109375" style="0" bestFit="1" customWidth="1"/>
  </cols>
  <sheetData>
    <row r="1" spans="1:6" ht="12.75">
      <c r="A1" s="442" t="s">
        <v>131</v>
      </c>
      <c r="B1" s="442"/>
      <c r="C1" s="442"/>
      <c r="D1" s="442"/>
      <c r="E1" s="442"/>
      <c r="F1" s="442"/>
    </row>
    <row r="2" spans="1:6" ht="12.75">
      <c r="A2" s="2" t="s">
        <v>0</v>
      </c>
      <c r="B2" s="1">
        <v>38581</v>
      </c>
      <c r="C2" s="1"/>
      <c r="D2" s="1"/>
      <c r="E2" s="1"/>
      <c r="F2" s="1"/>
    </row>
    <row r="3" spans="1:2" ht="12.75">
      <c r="A3" t="s">
        <v>1</v>
      </c>
      <c r="B3">
        <v>0</v>
      </c>
    </row>
    <row r="4" spans="1:2" ht="12.75">
      <c r="A4" t="s">
        <v>2</v>
      </c>
      <c r="B4">
        <v>0</v>
      </c>
    </row>
    <row r="5" spans="1:2" ht="12.75">
      <c r="A5" t="s">
        <v>3</v>
      </c>
      <c r="B5">
        <v>0</v>
      </c>
    </row>
    <row r="6" spans="1:2" ht="12.75">
      <c r="A6" t="s">
        <v>4</v>
      </c>
      <c r="B6">
        <v>0</v>
      </c>
    </row>
    <row r="7" spans="1:2" ht="12.75">
      <c r="A7" t="s">
        <v>5</v>
      </c>
      <c r="B7">
        <v>0</v>
      </c>
    </row>
    <row r="8" spans="1:2" ht="12.75">
      <c r="A8" t="s">
        <v>6</v>
      </c>
      <c r="B8">
        <v>0</v>
      </c>
    </row>
  </sheetData>
  <mergeCells count="1">
    <mergeCell ref="A1:F1"/>
  </mergeCells>
  <printOptions/>
  <pageMargins left="0.75" right="0.75" top="1" bottom="1" header="0.5" footer="0.5"/>
  <pageSetup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2" sqref="B2:B3"/>
    </sheetView>
  </sheetViews>
  <sheetFormatPr defaultColWidth="9.140625" defaultRowHeight="12.75"/>
  <cols>
    <col min="1" max="1" width="27.28125" style="0" bestFit="1" customWidth="1"/>
  </cols>
  <sheetData>
    <row r="1" spans="1:2" ht="12.75">
      <c r="A1" s="442" t="s">
        <v>132</v>
      </c>
      <c r="B1" s="442"/>
    </row>
    <row r="2" spans="1:2" ht="12.75">
      <c r="A2" s="2" t="s">
        <v>0</v>
      </c>
      <c r="B2" s="1">
        <v>38581</v>
      </c>
    </row>
    <row r="3" spans="1:2" ht="12.75">
      <c r="A3" t="s">
        <v>8</v>
      </c>
      <c r="B3">
        <v>53.3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0"/>
  <sheetViews>
    <sheetView workbookViewId="0" topLeftCell="A72">
      <selection activeCell="I110" sqref="I110"/>
    </sheetView>
  </sheetViews>
  <sheetFormatPr defaultColWidth="9.140625" defaultRowHeight="12.75"/>
  <cols>
    <col min="1" max="1" width="7.28125" style="5" customWidth="1"/>
    <col min="2" max="4" width="12.57421875" style="5" bestFit="1" customWidth="1"/>
    <col min="5" max="5" width="11.57421875" style="5" bestFit="1" customWidth="1"/>
    <col min="6" max="6" width="12.57421875" style="5" customWidth="1"/>
    <col min="7" max="7" width="11.421875" style="5" customWidth="1"/>
    <col min="8" max="8" width="9.140625" style="5" customWidth="1"/>
    <col min="9" max="9" width="11.28125" style="5" customWidth="1"/>
    <col min="10" max="10" width="10.28125" style="5" customWidth="1"/>
    <col min="11" max="11" width="9.140625" style="5" customWidth="1"/>
    <col min="12" max="12" width="10.57421875" style="5" customWidth="1"/>
    <col min="13" max="13" width="10.28125" style="5" customWidth="1"/>
    <col min="14" max="16384" width="9.140625" style="5" customWidth="1"/>
  </cols>
  <sheetData>
    <row r="1" spans="1:7" ht="15.75">
      <c r="A1" s="431" t="s">
        <v>546</v>
      </c>
      <c r="B1" s="402"/>
      <c r="C1" s="402"/>
      <c r="D1" s="402"/>
      <c r="E1" s="402"/>
      <c r="F1" s="402"/>
      <c r="G1" s="403"/>
    </row>
    <row r="2" spans="1:11" ht="12.75">
      <c r="A2" s="180" t="s">
        <v>347</v>
      </c>
      <c r="B2" s="180" t="s">
        <v>414</v>
      </c>
      <c r="C2" s="180" t="s">
        <v>411</v>
      </c>
      <c r="D2" s="181" t="s">
        <v>415</v>
      </c>
      <c r="E2" s="181" t="s">
        <v>346</v>
      </c>
      <c r="F2" s="181" t="s">
        <v>416</v>
      </c>
      <c r="G2" s="182"/>
      <c r="I2" s="180" t="s">
        <v>503</v>
      </c>
      <c r="J2" s="180" t="s">
        <v>344</v>
      </c>
      <c r="K2" s="181" t="s">
        <v>505</v>
      </c>
    </row>
    <row r="3" spans="1:11" ht="12.75">
      <c r="A3" s="56" t="s">
        <v>105</v>
      </c>
      <c r="B3" s="54">
        <f>(F116*I3)*2.723</f>
        <v>1376.7908022749998</v>
      </c>
      <c r="C3" s="54">
        <f>(G116*J3)*2.723</f>
        <v>3975.53575125</v>
      </c>
      <c r="D3" s="54">
        <f>B3+C3</f>
        <v>5352.326553524999</v>
      </c>
      <c r="E3" s="54">
        <f aca="true" t="shared" si="0" ref="E3:E14">(I116*K3)*2.723</f>
        <v>10.1941106211</v>
      </c>
      <c r="F3" s="54">
        <f aca="true" t="shared" si="1" ref="F3:F14">(B3+C3)-E3</f>
        <v>5342.1324429039</v>
      </c>
      <c r="G3" s="54"/>
      <c r="H3" s="56" t="s">
        <v>105</v>
      </c>
      <c r="I3" s="15">
        <v>0.235</v>
      </c>
      <c r="J3" s="15">
        <v>1.25</v>
      </c>
      <c r="K3" s="15">
        <v>0.203</v>
      </c>
    </row>
    <row r="4" spans="1:11" ht="12.75">
      <c r="A4" s="56" t="s">
        <v>106</v>
      </c>
      <c r="B4" s="54">
        <f aca="true" t="shared" si="2" ref="B4:C14">(F117*I4)*2.723</f>
        <v>629.9559705432001</v>
      </c>
      <c r="C4" s="54">
        <f t="shared" si="2"/>
        <v>3070.2529385639996</v>
      </c>
      <c r="D4" s="54">
        <f aca="true" t="shared" si="3" ref="D4:D14">B4+C4</f>
        <v>3700.2089091072</v>
      </c>
      <c r="E4" s="54">
        <f t="shared" si="0"/>
        <v>2.98452715848</v>
      </c>
      <c r="F4" s="54">
        <f t="shared" si="1"/>
        <v>3697.22438194872</v>
      </c>
      <c r="G4" s="54"/>
      <c r="H4" s="56" t="s">
        <v>106</v>
      </c>
      <c r="I4" s="15">
        <v>0.251</v>
      </c>
      <c r="J4" s="15">
        <v>0.967</v>
      </c>
      <c r="K4" s="15">
        <v>0.021</v>
      </c>
    </row>
    <row r="5" spans="1:11" ht="12.75">
      <c r="A5" s="56" t="s">
        <v>107</v>
      </c>
      <c r="B5" s="54">
        <f t="shared" si="2"/>
        <v>909.267797928</v>
      </c>
      <c r="C5" s="54">
        <f t="shared" si="2"/>
        <v>2364.8997513120003</v>
      </c>
      <c r="D5" s="54">
        <f t="shared" si="3"/>
        <v>3274.1675492400004</v>
      </c>
      <c r="E5" s="54">
        <f t="shared" si="0"/>
        <v>0.20086917480000002</v>
      </c>
      <c r="F5" s="54">
        <f t="shared" si="1"/>
        <v>3273.9666800652003</v>
      </c>
      <c r="G5" s="54"/>
      <c r="H5" s="56" t="s">
        <v>107</v>
      </c>
      <c r="I5" s="15">
        <v>0.194</v>
      </c>
      <c r="J5" s="15">
        <v>0.883</v>
      </c>
      <c r="K5" s="15">
        <v>0.006</v>
      </c>
    </row>
    <row r="6" spans="1:11" ht="12.75">
      <c r="A6" s="56" t="s">
        <v>108</v>
      </c>
      <c r="B6" s="54">
        <f t="shared" si="2"/>
        <v>1623.249720162</v>
      </c>
      <c r="C6" s="54">
        <f t="shared" si="2"/>
        <v>11157.9586776</v>
      </c>
      <c r="D6" s="54">
        <f t="shared" si="3"/>
        <v>12781.208397761999</v>
      </c>
      <c r="E6" s="54">
        <f t="shared" si="0"/>
        <v>0</v>
      </c>
      <c r="F6" s="54">
        <f t="shared" si="1"/>
        <v>12781.208397761999</v>
      </c>
      <c r="G6" s="54"/>
      <c r="H6" s="56" t="s">
        <v>108</v>
      </c>
      <c r="I6" s="15">
        <v>0.34199999999999997</v>
      </c>
      <c r="J6" s="15">
        <v>0.84</v>
      </c>
      <c r="K6" s="15">
        <v>0</v>
      </c>
    </row>
    <row r="7" spans="1:11" ht="12.75">
      <c r="A7" s="56" t="s">
        <v>109</v>
      </c>
      <c r="B7" s="54">
        <f t="shared" si="2"/>
        <v>24540.856649232</v>
      </c>
      <c r="C7" s="54">
        <f t="shared" si="2"/>
        <v>11139.86965245</v>
      </c>
      <c r="D7" s="54">
        <f t="shared" si="3"/>
        <v>35680.726301682</v>
      </c>
      <c r="E7" s="54">
        <f t="shared" si="0"/>
        <v>25233.855302292</v>
      </c>
      <c r="F7" s="54">
        <f t="shared" si="1"/>
        <v>10446.870999390001</v>
      </c>
      <c r="G7" s="54"/>
      <c r="H7" s="56" t="s">
        <v>109</v>
      </c>
      <c r="I7" s="15">
        <v>0.187</v>
      </c>
      <c r="J7" s="15">
        <v>0.242</v>
      </c>
      <c r="K7" s="15">
        <v>0.169</v>
      </c>
    </row>
    <row r="8" spans="1:11" ht="12.75">
      <c r="A8" s="56" t="s">
        <v>110</v>
      </c>
      <c r="B8" s="54">
        <f t="shared" si="2"/>
        <v>1643.6287618989002</v>
      </c>
      <c r="C8" s="54">
        <f t="shared" si="2"/>
        <v>3755.5840048440004</v>
      </c>
      <c r="D8" s="54">
        <f t="shared" si="3"/>
        <v>5399.2127667429</v>
      </c>
      <c r="E8" s="54">
        <f t="shared" si="0"/>
        <v>6283.689960680999</v>
      </c>
      <c r="F8" s="54">
        <f t="shared" si="1"/>
        <v>-884.4771939380989</v>
      </c>
      <c r="G8" s="54"/>
      <c r="H8" s="56" t="s">
        <v>110</v>
      </c>
      <c r="I8" s="15">
        <v>0.149</v>
      </c>
      <c r="J8" s="15">
        <v>0.158</v>
      </c>
      <c r="K8" s="15">
        <v>0.129</v>
      </c>
    </row>
    <row r="9" spans="1:11" ht="12.75">
      <c r="A9" s="56" t="s">
        <v>111</v>
      </c>
      <c r="B9" s="54">
        <f t="shared" si="2"/>
        <v>6851.550357666001</v>
      </c>
      <c r="C9" s="54">
        <f t="shared" si="2"/>
        <v>57.34490957999999</v>
      </c>
      <c r="D9" s="54">
        <f t="shared" si="3"/>
        <v>6908.895267246001</v>
      </c>
      <c r="E9" s="54">
        <f t="shared" si="0"/>
        <v>1692.2094038010002</v>
      </c>
      <c r="F9" s="54">
        <f t="shared" si="1"/>
        <v>5216.685863445001</v>
      </c>
      <c r="G9" s="54"/>
      <c r="H9" s="56" t="s">
        <v>111</v>
      </c>
      <c r="I9" s="15">
        <v>0.2245</v>
      </c>
      <c r="J9" s="15">
        <v>0.236</v>
      </c>
      <c r="K9" s="15">
        <v>0.14600000000000002</v>
      </c>
    </row>
    <row r="10" spans="1:11" ht="12.75">
      <c r="A10" s="56" t="s">
        <v>112</v>
      </c>
      <c r="B10" s="54">
        <f t="shared" si="2"/>
        <v>2892.670953775575</v>
      </c>
      <c r="C10" s="54">
        <f t="shared" si="2"/>
        <v>92.17303263</v>
      </c>
      <c r="D10" s="54">
        <f t="shared" si="3"/>
        <v>2984.843986405575</v>
      </c>
      <c r="E10" s="54">
        <f t="shared" si="0"/>
        <v>391.9208686816501</v>
      </c>
      <c r="F10" s="54">
        <f t="shared" si="1"/>
        <v>2592.923117723925</v>
      </c>
      <c r="G10" s="54"/>
      <c r="H10" s="56" t="s">
        <v>112</v>
      </c>
      <c r="I10" s="15">
        <v>0.27849999999999997</v>
      </c>
      <c r="J10" s="15">
        <v>0.569</v>
      </c>
      <c r="K10" s="15">
        <v>0.033</v>
      </c>
    </row>
    <row r="11" spans="1:11" ht="12.75">
      <c r="A11" s="56" t="s">
        <v>113</v>
      </c>
      <c r="B11" s="54">
        <f t="shared" si="2"/>
        <v>1806.40109980575</v>
      </c>
      <c r="C11" s="54">
        <f t="shared" si="2"/>
        <v>1.3234686758999998</v>
      </c>
      <c r="D11" s="54">
        <f t="shared" si="3"/>
        <v>1807.7245684816498</v>
      </c>
      <c r="E11" s="54">
        <f t="shared" si="0"/>
        <v>64.423928079</v>
      </c>
      <c r="F11" s="54">
        <f t="shared" si="1"/>
        <v>1743.3006404026498</v>
      </c>
      <c r="G11" s="54"/>
      <c r="H11" s="56" t="s">
        <v>113</v>
      </c>
      <c r="I11" s="15">
        <v>0.8545</v>
      </c>
      <c r="J11" s="15">
        <v>0.086</v>
      </c>
      <c r="K11" s="15">
        <v>0.020499999999999997</v>
      </c>
    </row>
    <row r="12" spans="1:11" ht="12.75">
      <c r="A12" s="56" t="s">
        <v>114</v>
      </c>
      <c r="B12" s="54">
        <f t="shared" si="2"/>
        <v>1747.8858033</v>
      </c>
      <c r="C12" s="54">
        <f t="shared" si="2"/>
        <v>507.810233196</v>
      </c>
      <c r="D12" s="54">
        <f t="shared" si="3"/>
        <v>2255.696036496</v>
      </c>
      <c r="E12" s="54">
        <f t="shared" si="0"/>
        <v>0</v>
      </c>
      <c r="F12" s="54">
        <f t="shared" si="1"/>
        <v>2255.696036496</v>
      </c>
      <c r="G12" s="54"/>
      <c r="H12" s="56" t="s">
        <v>114</v>
      </c>
      <c r="I12" s="15">
        <v>0.332</v>
      </c>
      <c r="J12" s="15">
        <v>0.461</v>
      </c>
      <c r="K12" s="15">
        <v>0</v>
      </c>
    </row>
    <row r="13" spans="1:11" ht="12.75">
      <c r="A13" s="56" t="s">
        <v>115</v>
      </c>
      <c r="B13" s="54">
        <f t="shared" si="2"/>
        <v>2295.788875821</v>
      </c>
      <c r="C13" s="54">
        <f t="shared" si="2"/>
        <v>10885.651352730001</v>
      </c>
      <c r="D13" s="54">
        <f t="shared" si="3"/>
        <v>13181.440228551</v>
      </c>
      <c r="E13" s="54">
        <f t="shared" si="0"/>
        <v>93.015387234</v>
      </c>
      <c r="F13" s="54">
        <f t="shared" si="1"/>
        <v>13088.424841317</v>
      </c>
      <c r="G13" s="54"/>
      <c r="H13" s="56" t="s">
        <v>115</v>
      </c>
      <c r="I13" s="15">
        <v>0.543</v>
      </c>
      <c r="J13" s="15">
        <v>0.451</v>
      </c>
      <c r="K13" s="15">
        <v>0.006</v>
      </c>
    </row>
    <row r="14" spans="1:11" ht="12.75">
      <c r="A14" s="56" t="s">
        <v>116</v>
      </c>
      <c r="B14" s="54">
        <f t="shared" si="2"/>
        <v>2541.011260347</v>
      </c>
      <c r="C14" s="54">
        <f t="shared" si="2"/>
        <v>5159.4219495</v>
      </c>
      <c r="D14" s="54">
        <f t="shared" si="3"/>
        <v>7700.433209847</v>
      </c>
      <c r="E14" s="54">
        <f t="shared" si="0"/>
        <v>10.448436914999998</v>
      </c>
      <c r="F14" s="54">
        <f t="shared" si="1"/>
        <v>7689.984772932001</v>
      </c>
      <c r="G14" s="54"/>
      <c r="H14" s="56" t="s">
        <v>116</v>
      </c>
      <c r="I14" s="15">
        <v>0.601</v>
      </c>
      <c r="J14" s="15">
        <v>0.637</v>
      </c>
      <c r="K14" s="15">
        <v>0.043</v>
      </c>
    </row>
    <row r="15" spans="1:8" ht="12.75">
      <c r="A15" s="183" t="s">
        <v>365</v>
      </c>
      <c r="B15" s="184">
        <f>SUM(B3:B14)</f>
        <v>48859.05805275442</v>
      </c>
      <c r="C15" s="184">
        <f>SUM(C3:C14)</f>
        <v>52167.82572233191</v>
      </c>
      <c r="D15" s="184">
        <f>SUM(D3:D14)</f>
        <v>101026.88377508632</v>
      </c>
      <c r="E15" s="184">
        <f>SUM(E3:E14)</f>
        <v>33782.94279463803</v>
      </c>
      <c r="F15" s="184">
        <f>SUM(F3:F14)</f>
        <v>67243.9409804483</v>
      </c>
      <c r="G15" s="184"/>
      <c r="H15" s="5" t="s">
        <v>545</v>
      </c>
    </row>
    <row r="16" spans="2:8" ht="12.75">
      <c r="B16" s="185"/>
      <c r="C16" s="185"/>
      <c r="D16" s="185"/>
      <c r="E16" s="185"/>
      <c r="F16" s="185"/>
      <c r="G16" s="185"/>
      <c r="H16" s="5" t="s">
        <v>442</v>
      </c>
    </row>
    <row r="17" spans="2:7" ht="12.75">
      <c r="B17" s="185"/>
      <c r="C17" s="185"/>
      <c r="D17" s="185"/>
      <c r="E17" s="185"/>
      <c r="F17" s="185"/>
      <c r="G17" s="185"/>
    </row>
    <row r="18" spans="2:7" ht="12.75">
      <c r="B18" s="185"/>
      <c r="C18" s="185"/>
      <c r="D18" s="185"/>
      <c r="E18" s="185"/>
      <c r="F18" s="185"/>
      <c r="G18" s="185"/>
    </row>
    <row r="19" spans="2:7" ht="12.75">
      <c r="B19" s="185"/>
      <c r="C19" s="185"/>
      <c r="D19" s="185"/>
      <c r="E19" s="185"/>
      <c r="F19" s="185"/>
      <c r="G19" s="185"/>
    </row>
    <row r="20" spans="2:7" ht="12.75">
      <c r="B20" s="185"/>
      <c r="C20" s="185"/>
      <c r="D20" s="185"/>
      <c r="E20" s="185"/>
      <c r="F20" s="185"/>
      <c r="G20" s="185"/>
    </row>
    <row r="21" spans="2:7" ht="12.75">
      <c r="B21" s="185"/>
      <c r="C21" s="185"/>
      <c r="D21" s="185"/>
      <c r="E21" s="185"/>
      <c r="F21" s="185"/>
      <c r="G21" s="185"/>
    </row>
    <row r="22" spans="2:7" ht="12.75">
      <c r="B22" s="185"/>
      <c r="C22" s="185"/>
      <c r="D22" s="185"/>
      <c r="E22" s="185"/>
      <c r="F22" s="185"/>
      <c r="G22" s="185"/>
    </row>
    <row r="23" spans="2:7" ht="12.75">
      <c r="B23" s="185"/>
      <c r="C23" s="185"/>
      <c r="D23" s="185"/>
      <c r="E23" s="185"/>
      <c r="F23" s="185"/>
      <c r="G23" s="185"/>
    </row>
    <row r="24" spans="2:7" ht="12.75">
      <c r="B24" s="185"/>
      <c r="C24" s="185"/>
      <c r="D24" s="185"/>
      <c r="E24" s="185"/>
      <c r="F24" s="185"/>
      <c r="G24" s="185"/>
    </row>
    <row r="25" spans="2:7" ht="12.75">
      <c r="B25" s="185"/>
      <c r="C25" s="185"/>
      <c r="D25" s="185"/>
      <c r="E25" s="185"/>
      <c r="F25" s="185"/>
      <c r="G25" s="185"/>
    </row>
    <row r="26" spans="2:7" ht="12.75">
      <c r="B26" s="185"/>
      <c r="C26" s="185"/>
      <c r="D26" s="185"/>
      <c r="E26" s="185"/>
      <c r="F26" s="185"/>
      <c r="G26" s="185"/>
    </row>
    <row r="27" spans="2:7" ht="12.75">
      <c r="B27" s="185"/>
      <c r="C27" s="185"/>
      <c r="D27" s="185"/>
      <c r="E27" s="185"/>
      <c r="F27" s="185"/>
      <c r="G27" s="185"/>
    </row>
    <row r="28" spans="2:7" ht="12.75">
      <c r="B28" s="185"/>
      <c r="C28" s="185"/>
      <c r="D28" s="185"/>
      <c r="E28" s="185"/>
      <c r="F28" s="185"/>
      <c r="G28" s="185"/>
    </row>
    <row r="29" spans="2:7" ht="12.75">
      <c r="B29" s="185"/>
      <c r="C29" s="185"/>
      <c r="D29" s="185"/>
      <c r="E29" s="185"/>
      <c r="F29" s="185"/>
      <c r="G29" s="185"/>
    </row>
    <row r="30" spans="2:7" ht="12.75">
      <c r="B30" s="185"/>
      <c r="C30" s="185"/>
      <c r="D30" s="185"/>
      <c r="E30" s="185"/>
      <c r="F30" s="185"/>
      <c r="G30" s="185"/>
    </row>
    <row r="31" spans="2:7" ht="12.75">
      <c r="B31" s="185"/>
      <c r="C31" s="185"/>
      <c r="D31" s="185"/>
      <c r="E31" s="185"/>
      <c r="F31" s="185"/>
      <c r="G31" s="185"/>
    </row>
    <row r="32" spans="2:7" ht="12.75">
      <c r="B32" s="185"/>
      <c r="C32" s="185"/>
      <c r="D32" s="185"/>
      <c r="E32" s="185"/>
      <c r="F32" s="185"/>
      <c r="G32" s="185"/>
    </row>
    <row r="33" spans="2:7" ht="12.75">
      <c r="B33" s="185"/>
      <c r="C33" s="185"/>
      <c r="D33" s="185"/>
      <c r="E33" s="185"/>
      <c r="F33" s="185"/>
      <c r="G33" s="185"/>
    </row>
    <row r="34" spans="2:7" ht="12.75">
      <c r="B34" s="61"/>
      <c r="C34" s="61"/>
      <c r="D34" s="61"/>
      <c r="E34" s="61"/>
      <c r="F34" s="61"/>
      <c r="G34" s="61"/>
    </row>
    <row r="35" spans="2:7" ht="12.75">
      <c r="B35" s="61"/>
      <c r="C35" s="61"/>
      <c r="D35" s="61"/>
      <c r="E35" s="61"/>
      <c r="F35" s="61"/>
      <c r="G35" s="61"/>
    </row>
    <row r="36" ht="12.75">
      <c r="J36" s="61"/>
    </row>
    <row r="37" spans="1:7" ht="15.75">
      <c r="A37" s="431" t="s">
        <v>538</v>
      </c>
      <c r="B37" s="402"/>
      <c r="C37" s="402"/>
      <c r="D37" s="402"/>
      <c r="E37" s="402"/>
      <c r="F37" s="402"/>
      <c r="G37" s="403"/>
    </row>
    <row r="38" spans="1:11" ht="12.75">
      <c r="A38" s="180" t="s">
        <v>348</v>
      </c>
      <c r="B38" s="180" t="s">
        <v>414</v>
      </c>
      <c r="C38" s="180" t="s">
        <v>411</v>
      </c>
      <c r="D38" s="181" t="s">
        <v>415</v>
      </c>
      <c r="E38" s="181" t="s">
        <v>346</v>
      </c>
      <c r="F38" s="181" t="s">
        <v>416</v>
      </c>
      <c r="G38" s="182"/>
      <c r="I38" s="180" t="s">
        <v>414</v>
      </c>
      <c r="J38" s="180" t="s">
        <v>411</v>
      </c>
      <c r="K38" s="181" t="s">
        <v>346</v>
      </c>
    </row>
    <row r="39" spans="1:11" ht="12.75">
      <c r="A39" s="56" t="s">
        <v>105</v>
      </c>
      <c r="B39" s="186">
        <f>(F116*I39)*2.723</f>
        <v>87.88026397499999</v>
      </c>
      <c r="C39" s="186">
        <f>(G116*J39)*2.72</f>
        <v>381.23095680000006</v>
      </c>
      <c r="D39" s="186">
        <f>B39+C39</f>
        <v>469.11122077500005</v>
      </c>
      <c r="E39" s="186">
        <f aca="true" t="shared" si="4" ref="E39:E50">(I116*K39)*2.723</f>
        <v>0.8034766992</v>
      </c>
      <c r="F39" s="186">
        <f aca="true" t="shared" si="5" ref="F39:F50">(B39+C39)-E39</f>
        <v>468.30774407580003</v>
      </c>
      <c r="G39" s="186"/>
      <c r="H39" s="56" t="s">
        <v>105</v>
      </c>
      <c r="I39" s="43">
        <v>0.015</v>
      </c>
      <c r="J39" s="43">
        <v>0.12</v>
      </c>
      <c r="K39" s="43">
        <v>0.016</v>
      </c>
    </row>
    <row r="40" spans="1:11" ht="12.75">
      <c r="A40" s="56" t="s">
        <v>106</v>
      </c>
      <c r="B40" s="186">
        <f aca="true" t="shared" si="6" ref="B40:B50">(F117*I40)*2.723</f>
        <v>250.97847432000006</v>
      </c>
      <c r="C40" s="186">
        <f aca="true" t="shared" si="7" ref="C40:C50">(G117*J40)*2.72</f>
        <v>225.17869247999997</v>
      </c>
      <c r="D40" s="186">
        <f aca="true" t="shared" si="8" ref="D40:D50">B40+C40</f>
        <v>476.1571668</v>
      </c>
      <c r="E40" s="186">
        <f t="shared" si="4"/>
        <v>3.5530085220000003</v>
      </c>
      <c r="F40" s="186">
        <f t="shared" si="5"/>
        <v>472.604158278</v>
      </c>
      <c r="G40" s="186"/>
      <c r="H40" s="56" t="s">
        <v>106</v>
      </c>
      <c r="I40" s="43">
        <v>0.1</v>
      </c>
      <c r="J40" s="43">
        <v>0.071</v>
      </c>
      <c r="K40" s="43">
        <v>0.025</v>
      </c>
    </row>
    <row r="41" spans="1:11" ht="12.75">
      <c r="A41" s="56" t="s">
        <v>107</v>
      </c>
      <c r="B41" s="186">
        <f t="shared" si="6"/>
        <v>112.48673788800001</v>
      </c>
      <c r="C41" s="186">
        <f t="shared" si="7"/>
        <v>205.99848192000005</v>
      </c>
      <c r="D41" s="186">
        <f t="shared" si="8"/>
        <v>318.48521980800007</v>
      </c>
      <c r="E41" s="186">
        <f t="shared" si="4"/>
        <v>0.7030421118000001</v>
      </c>
      <c r="F41" s="186">
        <f t="shared" si="5"/>
        <v>317.78217769620005</v>
      </c>
      <c r="G41" s="186"/>
      <c r="H41" s="56" t="s">
        <v>107</v>
      </c>
      <c r="I41" s="43">
        <v>0.024</v>
      </c>
      <c r="J41" s="43">
        <v>0.077</v>
      </c>
      <c r="K41" s="43">
        <v>0.021</v>
      </c>
    </row>
    <row r="42" spans="1:11" ht="12.75">
      <c r="A42" s="56" t="s">
        <v>108</v>
      </c>
      <c r="B42" s="186">
        <f t="shared" si="6"/>
        <v>365.468504247</v>
      </c>
      <c r="C42" s="186">
        <f t="shared" si="7"/>
        <v>3383.5056480000007</v>
      </c>
      <c r="D42" s="186">
        <f t="shared" si="8"/>
        <v>3748.974152247001</v>
      </c>
      <c r="E42" s="186">
        <f t="shared" si="4"/>
        <v>1190.6358345</v>
      </c>
      <c r="F42" s="186">
        <f t="shared" si="5"/>
        <v>2558.3383177470005</v>
      </c>
      <c r="G42" s="186"/>
      <c r="H42" s="56" t="s">
        <v>108</v>
      </c>
      <c r="I42" s="43">
        <v>0.077</v>
      </c>
      <c r="J42" s="43">
        <v>0.255</v>
      </c>
      <c r="K42" s="43">
        <v>0.021</v>
      </c>
    </row>
    <row r="43" spans="1:11" ht="12.75">
      <c r="A43" s="56" t="s">
        <v>109</v>
      </c>
      <c r="B43" s="186">
        <f t="shared" si="6"/>
        <v>8005.306179695999</v>
      </c>
      <c r="C43" s="186">
        <f t="shared" si="7"/>
        <v>5747.7255000000005</v>
      </c>
      <c r="D43" s="186">
        <f t="shared" si="8"/>
        <v>13753.031679696</v>
      </c>
      <c r="E43" s="186">
        <f t="shared" si="4"/>
        <v>6271.135637255999</v>
      </c>
      <c r="F43" s="186">
        <f t="shared" si="5"/>
        <v>7481.89604244</v>
      </c>
      <c r="G43" s="186"/>
      <c r="H43" s="56" t="s">
        <v>109</v>
      </c>
      <c r="I43" s="43">
        <v>0.061</v>
      </c>
      <c r="J43" s="43">
        <v>0.125</v>
      </c>
      <c r="K43" s="43">
        <v>0.042</v>
      </c>
    </row>
    <row r="44" spans="1:11" ht="12.75">
      <c r="A44" s="56" t="s">
        <v>110</v>
      </c>
      <c r="B44" s="186">
        <f t="shared" si="6"/>
        <v>209.59024480590003</v>
      </c>
      <c r="C44" s="186">
        <f t="shared" si="7"/>
        <v>1519.5732172800003</v>
      </c>
      <c r="D44" s="186">
        <f t="shared" si="8"/>
        <v>1729.1634620859004</v>
      </c>
      <c r="E44" s="186">
        <f t="shared" si="4"/>
        <v>1266.480147114</v>
      </c>
      <c r="F44" s="186">
        <f t="shared" si="5"/>
        <v>462.6833149719005</v>
      </c>
      <c r="G44" s="186"/>
      <c r="H44" s="56" t="s">
        <v>110</v>
      </c>
      <c r="I44" s="43">
        <v>0.019</v>
      </c>
      <c r="J44" s="43">
        <v>0.064</v>
      </c>
      <c r="K44" s="43">
        <v>0.026</v>
      </c>
    </row>
    <row r="45" spans="1:11" ht="12.75">
      <c r="A45" s="56" t="s">
        <v>111</v>
      </c>
      <c r="B45" s="186">
        <f t="shared" si="6"/>
        <v>457.78732901999996</v>
      </c>
      <c r="C45" s="186">
        <f t="shared" si="7"/>
        <v>15.776748000000001</v>
      </c>
      <c r="D45" s="186">
        <f t="shared" si="8"/>
        <v>473.56407701999996</v>
      </c>
      <c r="E45" s="186">
        <f t="shared" si="4"/>
        <v>405.6666378975</v>
      </c>
      <c r="F45" s="186">
        <f t="shared" si="5"/>
        <v>67.89743912249997</v>
      </c>
      <c r="G45" s="186"/>
      <c r="H45" s="56" t="s">
        <v>111</v>
      </c>
      <c r="I45" s="43">
        <v>0.015</v>
      </c>
      <c r="J45" s="43">
        <v>0.065</v>
      </c>
      <c r="K45" s="43">
        <v>0.035</v>
      </c>
    </row>
    <row r="46" spans="1:11" ht="12.75">
      <c r="A46" s="56" t="s">
        <v>112</v>
      </c>
      <c r="B46" s="186">
        <f t="shared" si="6"/>
        <v>321.98491765545003</v>
      </c>
      <c r="C46" s="186">
        <f t="shared" si="7"/>
        <v>56.63448</v>
      </c>
      <c r="D46" s="186">
        <f t="shared" si="8"/>
        <v>378.61939765545003</v>
      </c>
      <c r="E46" s="186">
        <f t="shared" si="4"/>
        <v>5225.611582422001</v>
      </c>
      <c r="F46" s="186">
        <f t="shared" si="5"/>
        <v>-4846.992184766552</v>
      </c>
      <c r="G46" s="186"/>
      <c r="H46" s="56" t="s">
        <v>112</v>
      </c>
      <c r="I46" s="43">
        <v>0.031</v>
      </c>
      <c r="J46" s="43">
        <v>0.35</v>
      </c>
      <c r="K46" s="43">
        <v>0.44</v>
      </c>
    </row>
    <row r="47" spans="1:11" ht="12.75">
      <c r="A47" s="56" t="s">
        <v>113</v>
      </c>
      <c r="B47" s="186">
        <f t="shared" si="6"/>
        <v>73.9895125725</v>
      </c>
      <c r="C47" s="186">
        <f t="shared" si="7"/>
        <v>1.2144050640000001</v>
      </c>
      <c r="D47" s="186">
        <f t="shared" si="8"/>
        <v>75.20391763650001</v>
      </c>
      <c r="E47" s="186">
        <f t="shared" si="4"/>
        <v>81.708396588</v>
      </c>
      <c r="F47" s="186">
        <f t="shared" si="5"/>
        <v>-6.504478951499991</v>
      </c>
      <c r="G47" s="186"/>
      <c r="H47" s="56" t="s">
        <v>113</v>
      </c>
      <c r="I47" s="43">
        <v>0.035</v>
      </c>
      <c r="J47" s="43">
        <v>0.079</v>
      </c>
      <c r="K47" s="43">
        <v>0.026</v>
      </c>
    </row>
    <row r="48" spans="1:11" ht="12.75">
      <c r="A48" s="56" t="s">
        <v>114</v>
      </c>
      <c r="B48" s="186">
        <f t="shared" si="6"/>
        <v>57.91187902499999</v>
      </c>
      <c r="C48" s="186">
        <f t="shared" si="7"/>
        <v>68.22027648000001</v>
      </c>
      <c r="D48" s="186">
        <f t="shared" si="8"/>
        <v>126.132155505</v>
      </c>
      <c r="E48" s="186">
        <f t="shared" si="4"/>
        <v>0.9136307627999999</v>
      </c>
      <c r="F48" s="186">
        <f t="shared" si="5"/>
        <v>125.2185247422</v>
      </c>
      <c r="G48" s="186"/>
      <c r="H48" s="56" t="s">
        <v>114</v>
      </c>
      <c r="I48" s="43">
        <v>0.011</v>
      </c>
      <c r="J48" s="43">
        <v>0.062</v>
      </c>
      <c r="K48" s="43">
        <v>0.03</v>
      </c>
    </row>
    <row r="49" spans="1:11" ht="12.75">
      <c r="A49" s="56" t="s">
        <v>115</v>
      </c>
      <c r="B49" s="186">
        <f t="shared" si="6"/>
        <v>88.78741508700001</v>
      </c>
      <c r="C49" s="186">
        <f t="shared" si="7"/>
        <v>1711.8176112</v>
      </c>
      <c r="D49" s="186">
        <f t="shared" si="8"/>
        <v>1800.605026287</v>
      </c>
      <c r="E49" s="186">
        <f t="shared" si="4"/>
        <v>294.54872624100005</v>
      </c>
      <c r="F49" s="186">
        <f t="shared" si="5"/>
        <v>1506.0563000460002</v>
      </c>
      <c r="G49" s="186"/>
      <c r="H49" s="56" t="s">
        <v>115</v>
      </c>
      <c r="I49" s="43">
        <v>0.021</v>
      </c>
      <c r="J49" s="43">
        <v>0.071</v>
      </c>
      <c r="K49" s="43">
        <v>0.019</v>
      </c>
    </row>
    <row r="50" spans="1:11" ht="12.75">
      <c r="A50" s="56" t="s">
        <v>116</v>
      </c>
      <c r="B50" s="186">
        <f t="shared" si="6"/>
        <v>84.55944294000001</v>
      </c>
      <c r="C50" s="186">
        <f t="shared" si="7"/>
        <v>809.0640000000001</v>
      </c>
      <c r="D50" s="186">
        <f t="shared" si="8"/>
        <v>893.6234429400001</v>
      </c>
      <c r="E50" s="186">
        <f t="shared" si="4"/>
        <v>4.8597380999999995</v>
      </c>
      <c r="F50" s="186">
        <f t="shared" si="5"/>
        <v>888.7637048400002</v>
      </c>
      <c r="G50" s="186"/>
      <c r="H50" s="56" t="s">
        <v>116</v>
      </c>
      <c r="I50" s="43">
        <v>0.02</v>
      </c>
      <c r="J50" s="43">
        <v>0.1</v>
      </c>
      <c r="K50" s="43">
        <v>0.02</v>
      </c>
    </row>
    <row r="51" spans="1:7" ht="12.75">
      <c r="A51" s="181" t="s">
        <v>365</v>
      </c>
      <c r="B51" s="187">
        <f>SUM(B39:B50)</f>
        <v>10116.730901231851</v>
      </c>
      <c r="C51" s="187">
        <f>SUM(C39:C50)</f>
        <v>14125.940017224002</v>
      </c>
      <c r="D51" s="187">
        <f>SUM(D39:D50)</f>
        <v>24242.670918455853</v>
      </c>
      <c r="E51" s="187">
        <f>SUM(E39:E50)</f>
        <v>14746.6198582143</v>
      </c>
      <c r="F51" s="187">
        <f>SUM(F39:F50)</f>
        <v>9496.051060241552</v>
      </c>
      <c r="G51" s="187"/>
    </row>
    <row r="52" spans="2:7" ht="12.75">
      <c r="B52" s="185"/>
      <c r="C52" s="185"/>
      <c r="D52" s="185"/>
      <c r="E52" s="185"/>
      <c r="F52" s="185"/>
      <c r="G52" s="185"/>
    </row>
    <row r="53" spans="2:7" ht="12.75">
      <c r="B53" s="185"/>
      <c r="C53" s="185"/>
      <c r="D53" s="185"/>
      <c r="E53" s="185"/>
      <c r="F53" s="185"/>
      <c r="G53" s="185"/>
    </row>
    <row r="54" spans="2:7" ht="12.75">
      <c r="B54" s="185"/>
      <c r="C54" s="185"/>
      <c r="D54" s="185"/>
      <c r="E54" s="185"/>
      <c r="F54" s="185"/>
      <c r="G54" s="185"/>
    </row>
    <row r="55" spans="2:7" ht="12.75">
      <c r="B55" s="185"/>
      <c r="C55" s="185"/>
      <c r="D55" s="185"/>
      <c r="E55" s="185"/>
      <c r="F55" s="185"/>
      <c r="G55" s="185"/>
    </row>
    <row r="56" spans="2:7" ht="12.75">
      <c r="B56" s="185"/>
      <c r="C56" s="185"/>
      <c r="D56" s="185"/>
      <c r="E56" s="185"/>
      <c r="F56" s="185"/>
      <c r="G56" s="185"/>
    </row>
    <row r="57" spans="2:7" ht="12.75">
      <c r="B57" s="185"/>
      <c r="C57" s="185"/>
      <c r="D57" s="185"/>
      <c r="E57" s="185"/>
      <c r="F57" s="185"/>
      <c r="G57" s="185"/>
    </row>
    <row r="58" spans="2:7" ht="12.75">
      <c r="B58" s="185"/>
      <c r="C58" s="185"/>
      <c r="D58" s="185"/>
      <c r="E58" s="185"/>
      <c r="F58" s="185"/>
      <c r="G58" s="185"/>
    </row>
    <row r="59" spans="2:7" ht="12.75">
      <c r="B59" s="185"/>
      <c r="C59" s="185"/>
      <c r="D59" s="185"/>
      <c r="E59" s="185"/>
      <c r="F59" s="185"/>
      <c r="G59" s="185"/>
    </row>
    <row r="60" spans="2:7" ht="12" customHeight="1">
      <c r="B60" s="185"/>
      <c r="C60" s="185"/>
      <c r="D60" s="185"/>
      <c r="E60" s="185"/>
      <c r="F60" s="185"/>
      <c r="G60" s="185"/>
    </row>
    <row r="61" spans="2:7" ht="12.75">
      <c r="B61" s="185"/>
      <c r="C61" s="185"/>
      <c r="D61" s="185"/>
      <c r="E61" s="185"/>
      <c r="F61" s="185"/>
      <c r="G61" s="185"/>
    </row>
    <row r="62" spans="2:7" ht="12.75">
      <c r="B62" s="185"/>
      <c r="C62" s="185"/>
      <c r="D62" s="185"/>
      <c r="E62" s="185"/>
      <c r="F62" s="185"/>
      <c r="G62" s="185"/>
    </row>
    <row r="63" spans="2:7" ht="12.75">
      <c r="B63" s="185"/>
      <c r="C63" s="185"/>
      <c r="D63" s="185"/>
      <c r="E63" s="185"/>
      <c r="F63" s="185"/>
      <c r="G63" s="185"/>
    </row>
    <row r="64" spans="2:7" ht="12.75">
      <c r="B64" s="185"/>
      <c r="C64" s="185"/>
      <c r="D64" s="185"/>
      <c r="E64" s="185"/>
      <c r="F64" s="185"/>
      <c r="G64" s="185"/>
    </row>
    <row r="65" spans="2:7" ht="12.75">
      <c r="B65" s="185"/>
      <c r="C65" s="185"/>
      <c r="D65" s="185"/>
      <c r="E65" s="185"/>
      <c r="F65" s="185"/>
      <c r="G65" s="185"/>
    </row>
    <row r="66" spans="2:7" ht="12.75">
      <c r="B66" s="185"/>
      <c r="C66" s="185"/>
      <c r="D66" s="185"/>
      <c r="E66" s="185"/>
      <c r="F66" s="185"/>
      <c r="G66" s="185"/>
    </row>
    <row r="67" spans="2:7" ht="12.75">
      <c r="B67" s="185"/>
      <c r="C67" s="185"/>
      <c r="D67" s="185"/>
      <c r="E67" s="185"/>
      <c r="F67" s="185"/>
      <c r="G67" s="185"/>
    </row>
    <row r="68" spans="2:7" ht="12.75">
      <c r="B68" s="185"/>
      <c r="C68" s="185"/>
      <c r="D68" s="185"/>
      <c r="E68" s="185"/>
      <c r="F68" s="185"/>
      <c r="G68" s="185"/>
    </row>
    <row r="69" spans="2:7" ht="12.75">
      <c r="B69" s="185"/>
      <c r="C69" s="185"/>
      <c r="D69" s="185"/>
      <c r="E69" s="185"/>
      <c r="F69" s="185"/>
      <c r="G69" s="185"/>
    </row>
    <row r="70" spans="2:7" ht="12" customHeight="1">
      <c r="B70" s="185"/>
      <c r="C70" s="185"/>
      <c r="D70" s="185"/>
      <c r="E70" s="185"/>
      <c r="F70" s="185"/>
      <c r="G70" s="185"/>
    </row>
    <row r="71" spans="2:7" ht="12" customHeight="1">
      <c r="B71" s="185"/>
      <c r="C71" s="185"/>
      <c r="D71" s="185"/>
      <c r="E71" s="185"/>
      <c r="F71" s="185"/>
      <c r="G71" s="185"/>
    </row>
    <row r="72" spans="2:7" ht="12.75">
      <c r="B72" s="185"/>
      <c r="C72" s="185"/>
      <c r="D72" s="185"/>
      <c r="E72" s="185"/>
      <c r="F72" s="185"/>
      <c r="G72" s="185"/>
    </row>
    <row r="73" spans="2:7" ht="12.75">
      <c r="B73" s="185"/>
      <c r="C73" s="185"/>
      <c r="D73" s="185"/>
      <c r="E73" s="185"/>
      <c r="F73" s="185"/>
      <c r="G73" s="185"/>
    </row>
    <row r="74" spans="1:7" ht="12.75">
      <c r="A74" s="141" t="s">
        <v>276</v>
      </c>
      <c r="B74" s="141" t="s">
        <v>414</v>
      </c>
      <c r="C74" s="141" t="s">
        <v>411</v>
      </c>
      <c r="D74" s="141" t="s">
        <v>415</v>
      </c>
      <c r="E74" s="141" t="s">
        <v>346</v>
      </c>
      <c r="F74" s="141" t="s">
        <v>416</v>
      </c>
      <c r="G74" s="188"/>
    </row>
    <row r="75" spans="1:11" ht="12.75">
      <c r="A75" s="141"/>
      <c r="B75" s="189" t="s">
        <v>450</v>
      </c>
      <c r="C75" s="189" t="s">
        <v>450</v>
      </c>
      <c r="D75" s="189" t="s">
        <v>450</v>
      </c>
      <c r="E75" s="189" t="s">
        <v>450</v>
      </c>
      <c r="F75" s="189" t="s">
        <v>450</v>
      </c>
      <c r="G75" s="188"/>
      <c r="I75" s="180" t="s">
        <v>414</v>
      </c>
      <c r="J75" s="180" t="s">
        <v>411</v>
      </c>
      <c r="K75" s="181" t="s">
        <v>346</v>
      </c>
    </row>
    <row r="76" spans="1:11" ht="12.75">
      <c r="A76" s="141" t="s">
        <v>105</v>
      </c>
      <c r="B76" s="54">
        <f>(F116*I76)*2.72</f>
        <v>0</v>
      </c>
      <c r="C76" s="54">
        <f>(G116*J76)*2.72</f>
        <v>90860.04470400001</v>
      </c>
      <c r="D76" s="54">
        <f>B76+C76</f>
        <v>90860.04470400001</v>
      </c>
      <c r="E76" s="54">
        <f aca="true" t="shared" si="9" ref="E76:E87">(I116*K76)*2.723</f>
        <v>236.02128039</v>
      </c>
      <c r="F76" s="54">
        <f aca="true" t="shared" si="10" ref="F76:F87">(B76+C76)-E76</f>
        <v>90624.02342361001</v>
      </c>
      <c r="G76" s="190"/>
      <c r="H76" s="56" t="s">
        <v>105</v>
      </c>
      <c r="I76" s="44">
        <v>0</v>
      </c>
      <c r="J76" s="44">
        <v>28.6</v>
      </c>
      <c r="K76" s="44">
        <v>4.7</v>
      </c>
    </row>
    <row r="77" spans="1:11" ht="12.75">
      <c r="A77" s="141" t="s">
        <v>106</v>
      </c>
      <c r="B77" s="54">
        <f aca="true" t="shared" si="11" ref="B77:C87">(F117*I77)*2.72</f>
        <v>20056.157184000007</v>
      </c>
      <c r="C77" s="54">
        <f t="shared" si="11"/>
        <v>52013.10643199999</v>
      </c>
      <c r="D77" s="54">
        <f aca="true" t="shared" si="12" ref="D77:D87">B77+C77</f>
        <v>72069.263616</v>
      </c>
      <c r="E77" s="54">
        <f t="shared" si="9"/>
        <v>739.025772576</v>
      </c>
      <c r="F77" s="54">
        <f t="shared" si="10"/>
        <v>71330.237843424</v>
      </c>
      <c r="G77" s="190"/>
      <c r="H77" s="56" t="s">
        <v>106</v>
      </c>
      <c r="I77" s="44">
        <v>8</v>
      </c>
      <c r="J77" s="44">
        <v>16.4</v>
      </c>
      <c r="K77" s="44">
        <v>5.2</v>
      </c>
    </row>
    <row r="78" spans="1:11" ht="12.75">
      <c r="A78" s="141" t="s">
        <v>107</v>
      </c>
      <c r="B78" s="54">
        <f t="shared" si="11"/>
        <v>21536.204928</v>
      </c>
      <c r="C78" s="54">
        <f t="shared" si="11"/>
        <v>83201.98425600003</v>
      </c>
      <c r="D78" s="54">
        <f t="shared" si="12"/>
        <v>104738.18918400002</v>
      </c>
      <c r="E78" s="54">
        <f t="shared" si="9"/>
        <v>230.99955102000007</v>
      </c>
      <c r="F78" s="54">
        <f t="shared" si="10"/>
        <v>104507.18963298002</v>
      </c>
      <c r="G78" s="190"/>
      <c r="H78" s="56" t="s">
        <v>107</v>
      </c>
      <c r="I78" s="44">
        <v>4.6</v>
      </c>
      <c r="J78" s="44">
        <v>31.1</v>
      </c>
      <c r="K78" s="44">
        <v>6.9</v>
      </c>
    </row>
    <row r="79" spans="1:11" ht="12.75">
      <c r="A79" s="141" t="s">
        <v>108</v>
      </c>
      <c r="B79" s="54">
        <f t="shared" si="11"/>
        <v>114734.98396800002</v>
      </c>
      <c r="C79" s="54">
        <f t="shared" si="11"/>
        <v>3847908.384000001</v>
      </c>
      <c r="D79" s="54">
        <f t="shared" si="12"/>
        <v>3962643.367968001</v>
      </c>
      <c r="E79" s="54">
        <f t="shared" si="9"/>
        <v>708711.8062499999</v>
      </c>
      <c r="F79" s="54">
        <f t="shared" si="10"/>
        <v>3253931.561718001</v>
      </c>
      <c r="G79" s="190"/>
      <c r="H79" s="56" t="s">
        <v>108</v>
      </c>
      <c r="I79" s="44">
        <v>24.2</v>
      </c>
      <c r="J79" s="44">
        <v>290</v>
      </c>
      <c r="K79" s="44">
        <v>12.5</v>
      </c>
    </row>
    <row r="80" spans="1:11" ht="12.75">
      <c r="A80" s="141" t="s">
        <v>109</v>
      </c>
      <c r="B80" s="54">
        <f t="shared" si="11"/>
        <v>3854044.3253760007</v>
      </c>
      <c r="C80" s="54">
        <f t="shared" si="11"/>
        <v>3375064.4136000006</v>
      </c>
      <c r="D80" s="54">
        <f t="shared" si="12"/>
        <v>7229108.738976002</v>
      </c>
      <c r="E80" s="54">
        <f t="shared" si="9"/>
        <v>1179570.7508172</v>
      </c>
      <c r="F80" s="54">
        <f t="shared" si="10"/>
        <v>6049537.988158802</v>
      </c>
      <c r="G80" s="190"/>
      <c r="H80" s="56" t="s">
        <v>109</v>
      </c>
      <c r="I80" s="44">
        <v>29.4</v>
      </c>
      <c r="J80" s="44">
        <v>73.4</v>
      </c>
      <c r="K80" s="44">
        <v>7.9</v>
      </c>
    </row>
    <row r="81" spans="1:11" ht="12.75">
      <c r="A81" s="141" t="s">
        <v>110</v>
      </c>
      <c r="B81" s="54">
        <f t="shared" si="11"/>
        <v>96966.42827520003</v>
      </c>
      <c r="C81" s="54">
        <f t="shared" si="11"/>
        <v>593583.2880000001</v>
      </c>
      <c r="D81" s="54">
        <f t="shared" si="12"/>
        <v>690549.7162752001</v>
      </c>
      <c r="E81" s="54">
        <f t="shared" si="9"/>
        <v>642982.2285348</v>
      </c>
      <c r="F81" s="54">
        <f t="shared" si="10"/>
        <v>47567.48774040013</v>
      </c>
      <c r="G81" s="190"/>
      <c r="H81" s="56" t="s">
        <v>110</v>
      </c>
      <c r="I81" s="44">
        <v>8.8</v>
      </c>
      <c r="J81" s="44">
        <v>25</v>
      </c>
      <c r="K81" s="44">
        <v>13.2</v>
      </c>
    </row>
    <row r="82" spans="1:11" ht="12.75">
      <c r="A82" s="141" t="s">
        <v>111</v>
      </c>
      <c r="B82" s="54">
        <f t="shared" si="11"/>
        <v>307903.868352</v>
      </c>
      <c r="C82" s="54">
        <f t="shared" si="11"/>
        <v>3228.1653600000004</v>
      </c>
      <c r="D82" s="54">
        <f t="shared" si="12"/>
        <v>311132.033712</v>
      </c>
      <c r="E82" s="54">
        <f t="shared" si="9"/>
        <v>159948.5600853</v>
      </c>
      <c r="F82" s="54">
        <f t="shared" si="10"/>
        <v>151183.4736267</v>
      </c>
      <c r="G82" s="190"/>
      <c r="H82" s="56" t="s">
        <v>111</v>
      </c>
      <c r="I82" s="44">
        <v>10.1</v>
      </c>
      <c r="J82" s="44">
        <v>13.3</v>
      </c>
      <c r="K82" s="44">
        <v>13.8</v>
      </c>
    </row>
    <row r="83" spans="1:11" ht="12.75">
      <c r="A83" s="141" t="s">
        <v>112</v>
      </c>
      <c r="B83" s="54">
        <f t="shared" si="11"/>
        <v>110495.52906120001</v>
      </c>
      <c r="C83" s="54">
        <f t="shared" si="11"/>
        <v>11205.5364</v>
      </c>
      <c r="D83" s="54">
        <f t="shared" si="12"/>
        <v>121701.0654612</v>
      </c>
      <c r="E83" s="54">
        <f t="shared" si="9"/>
        <v>146673.4160066175</v>
      </c>
      <c r="F83" s="54">
        <f t="shared" si="10"/>
        <v>-24972.350545417503</v>
      </c>
      <c r="G83" s="190"/>
      <c r="H83" s="56" t="s">
        <v>112</v>
      </c>
      <c r="I83" s="44">
        <v>10.65</v>
      </c>
      <c r="J83" s="44">
        <v>69.25</v>
      </c>
      <c r="K83" s="44">
        <v>12.35</v>
      </c>
    </row>
    <row r="84" spans="1:11" ht="12.75">
      <c r="A84" s="141" t="s">
        <v>113</v>
      </c>
      <c r="B84" s="54">
        <f t="shared" si="11"/>
        <v>11086.199460000002</v>
      </c>
      <c r="C84" s="54">
        <f t="shared" si="11"/>
        <v>85.31579880000001</v>
      </c>
      <c r="D84" s="54">
        <f t="shared" si="12"/>
        <v>11171.515258800002</v>
      </c>
      <c r="E84" s="54">
        <f t="shared" si="9"/>
        <v>34411.805486100006</v>
      </c>
      <c r="F84" s="54">
        <f t="shared" si="10"/>
        <v>-23240.290227300004</v>
      </c>
      <c r="G84" s="190"/>
      <c r="H84" s="56" t="s">
        <v>113</v>
      </c>
      <c r="I84" s="44">
        <v>5.25</v>
      </c>
      <c r="J84" s="44">
        <v>5.55</v>
      </c>
      <c r="K84" s="44">
        <v>10.95</v>
      </c>
    </row>
    <row r="85" spans="1:11" ht="12.75">
      <c r="A85" s="141" t="s">
        <v>114</v>
      </c>
      <c r="B85" s="54">
        <f t="shared" si="11"/>
        <v>22087.447200000002</v>
      </c>
      <c r="C85" s="54">
        <f t="shared" si="11"/>
        <v>25197.489216000005</v>
      </c>
      <c r="D85" s="54">
        <f t="shared" si="12"/>
        <v>47284.93641600001</v>
      </c>
      <c r="E85" s="54">
        <f t="shared" si="9"/>
        <v>429.406458516</v>
      </c>
      <c r="F85" s="54">
        <f t="shared" si="10"/>
        <v>46855.52995748401</v>
      </c>
      <c r="G85" s="190"/>
      <c r="H85" s="56" t="s">
        <v>114</v>
      </c>
      <c r="I85" s="44">
        <v>4.2</v>
      </c>
      <c r="J85" s="44">
        <v>22.9</v>
      </c>
      <c r="K85" s="44">
        <v>14.1</v>
      </c>
    </row>
    <row r="86" spans="1:11" ht="12.75">
      <c r="A86" s="141" t="s">
        <v>115</v>
      </c>
      <c r="B86" s="54">
        <f t="shared" si="11"/>
        <v>20271.907584</v>
      </c>
      <c r="C86" s="54">
        <f t="shared" si="11"/>
        <v>858319.8163200001</v>
      </c>
      <c r="D86" s="54">
        <f t="shared" si="12"/>
        <v>878591.7239040001</v>
      </c>
      <c r="E86" s="54">
        <f t="shared" si="9"/>
        <v>65110.77106380001</v>
      </c>
      <c r="F86" s="54">
        <f t="shared" si="10"/>
        <v>813480.9528402002</v>
      </c>
      <c r="G86" s="190"/>
      <c r="H86" s="56" t="s">
        <v>115</v>
      </c>
      <c r="I86" s="44">
        <v>4.8</v>
      </c>
      <c r="J86" s="44">
        <v>35.6</v>
      </c>
      <c r="K86" s="44">
        <v>4.2</v>
      </c>
    </row>
    <row r="87" spans="1:11" ht="12.75">
      <c r="A87" s="141" t="s">
        <v>116</v>
      </c>
      <c r="B87" s="54">
        <f t="shared" si="11"/>
        <v>0</v>
      </c>
      <c r="C87" s="54">
        <f t="shared" si="11"/>
        <v>299353.68</v>
      </c>
      <c r="D87" s="54">
        <f t="shared" si="12"/>
        <v>299353.68</v>
      </c>
      <c r="E87" s="54">
        <f t="shared" si="9"/>
        <v>1020.5450010000001</v>
      </c>
      <c r="F87" s="54">
        <f t="shared" si="10"/>
        <v>298333.134999</v>
      </c>
      <c r="G87" s="190"/>
      <c r="H87" s="56" t="s">
        <v>116</v>
      </c>
      <c r="I87" s="44">
        <v>0</v>
      </c>
      <c r="J87" s="44">
        <v>37</v>
      </c>
      <c r="K87" s="44">
        <v>4.2</v>
      </c>
    </row>
    <row r="88" spans="1:7" ht="12.75">
      <c r="A88" s="143" t="s">
        <v>167</v>
      </c>
      <c r="B88" s="191">
        <f>SUM(B76:B87)</f>
        <v>4579183.051388402</v>
      </c>
      <c r="C88" s="191">
        <f>SUM(C76:C87)</f>
        <v>9240021.2240868</v>
      </c>
      <c r="D88" s="191">
        <f>SUM(D76:D87)</f>
        <v>13819204.275475202</v>
      </c>
      <c r="E88" s="191">
        <f>SUM(E76:E87)</f>
        <v>2940065.3363073193</v>
      </c>
      <c r="F88" s="191">
        <f>SUM(F76:F87)</f>
        <v>10879138.939167881</v>
      </c>
      <c r="G88" s="192"/>
    </row>
    <row r="89" spans="2:7" ht="12.75">
      <c r="B89" s="61"/>
      <c r="C89" s="61"/>
      <c r="D89" s="61"/>
      <c r="E89" s="61"/>
      <c r="F89" s="61"/>
      <c r="G89" s="61"/>
    </row>
    <row r="90" spans="2:7" ht="12.75">
      <c r="B90" s="61"/>
      <c r="C90" s="61"/>
      <c r="D90" s="61"/>
      <c r="E90" s="61"/>
      <c r="F90" s="61"/>
      <c r="G90" s="61"/>
    </row>
    <row r="91" spans="2:7" ht="12.75">
      <c r="B91" s="61"/>
      <c r="C91" s="61"/>
      <c r="D91" s="61"/>
      <c r="E91" s="61"/>
      <c r="F91" s="61"/>
      <c r="G91" s="61"/>
    </row>
    <row r="92" spans="2:7" ht="12.75">
      <c r="B92" s="61"/>
      <c r="C92" s="61"/>
      <c r="D92" s="61"/>
      <c r="E92" s="61"/>
      <c r="F92" s="61"/>
      <c r="G92" s="61"/>
    </row>
    <row r="93" spans="2:7" ht="12.75">
      <c r="B93" s="61"/>
      <c r="C93" s="61"/>
      <c r="D93" s="61"/>
      <c r="E93" s="61"/>
      <c r="F93" s="61"/>
      <c r="G93" s="61"/>
    </row>
    <row r="94" spans="2:7" ht="12.75">
      <c r="B94" s="61"/>
      <c r="C94" s="61"/>
      <c r="D94" s="61"/>
      <c r="E94" s="61"/>
      <c r="F94" s="61"/>
      <c r="G94" s="61"/>
    </row>
    <row r="95" spans="2:7" ht="12.75">
      <c r="B95" s="61"/>
      <c r="C95" s="61"/>
      <c r="D95" s="61"/>
      <c r="E95" s="61"/>
      <c r="F95" s="61"/>
      <c r="G95" s="61"/>
    </row>
    <row r="96" spans="3:7" ht="12.75">
      <c r="C96" s="61"/>
      <c r="E96" s="61"/>
      <c r="G96" s="61"/>
    </row>
    <row r="97" spans="2:7" ht="12.75">
      <c r="B97" s="61"/>
      <c r="C97" s="61"/>
      <c r="D97" s="61"/>
      <c r="E97" s="61"/>
      <c r="F97" s="61"/>
      <c r="G97" s="61"/>
    </row>
    <row r="98" spans="3:7" ht="12.75">
      <c r="C98" s="61"/>
      <c r="E98" s="61"/>
      <c r="F98" s="193"/>
      <c r="G98" s="61"/>
    </row>
    <row r="99" spans="2:3" ht="12.75">
      <c r="B99" s="194"/>
      <c r="C99" s="194"/>
    </row>
    <row r="100" spans="1:10" ht="12.75">
      <c r="A100" s="63"/>
      <c r="B100" s="63"/>
      <c r="C100" s="63"/>
      <c r="D100" s="63"/>
      <c r="E100" s="63"/>
      <c r="F100" s="64"/>
      <c r="G100" s="64"/>
      <c r="J100"/>
    </row>
    <row r="101" ht="12.75">
      <c r="J101"/>
    </row>
    <row r="102" ht="12.75">
      <c r="J102"/>
    </row>
    <row r="103" spans="2:10" ht="12.75">
      <c r="B103" s="140"/>
      <c r="C103" s="140"/>
      <c r="D103" s="140"/>
      <c r="J103"/>
    </row>
    <row r="104" spans="2:10" ht="12.75">
      <c r="B104" s="140"/>
      <c r="C104" s="140"/>
      <c r="D104" s="140"/>
      <c r="E104" s="66"/>
      <c r="F104" s="66"/>
      <c r="G104" s="66"/>
      <c r="J104"/>
    </row>
    <row r="105" spans="2:10" ht="12.75">
      <c r="B105" s="140"/>
      <c r="C105" s="140"/>
      <c r="D105" s="140"/>
      <c r="E105" s="66"/>
      <c r="F105" s="66"/>
      <c r="G105" s="66"/>
      <c r="J105"/>
    </row>
    <row r="106" spans="2:10" ht="12.75">
      <c r="B106" s="140"/>
      <c r="C106" s="140"/>
      <c r="D106" s="140"/>
      <c r="E106" s="61"/>
      <c r="F106" s="61"/>
      <c r="G106" s="61"/>
      <c r="J106"/>
    </row>
    <row r="107" spans="2:10" ht="12.75">
      <c r="B107" s="140"/>
      <c r="C107" s="140"/>
      <c r="D107" s="140"/>
      <c r="E107" s="61"/>
      <c r="F107" s="61"/>
      <c r="G107" s="61"/>
      <c r="J107"/>
    </row>
    <row r="108" spans="2:10" ht="12.75">
      <c r="B108" s="140"/>
      <c r="C108" s="140"/>
      <c r="D108" s="140"/>
      <c r="E108" s="61"/>
      <c r="F108" s="61"/>
      <c r="G108" s="61"/>
      <c r="J108"/>
    </row>
    <row r="109" spans="2:10" ht="12.75">
      <c r="B109" s="140"/>
      <c r="C109" s="140"/>
      <c r="D109" s="140"/>
      <c r="E109" s="61"/>
      <c r="F109" s="61"/>
      <c r="G109" s="61"/>
      <c r="J109"/>
    </row>
    <row r="110" spans="2:10" ht="12.75">
      <c r="B110" s="140"/>
      <c r="C110" s="140"/>
      <c r="D110" s="140"/>
      <c r="E110" s="61"/>
      <c r="F110" s="61"/>
      <c r="G110" s="61"/>
      <c r="J110"/>
    </row>
    <row r="111" spans="2:10" ht="12.75">
      <c r="B111" s="140"/>
      <c r="C111" s="140"/>
      <c r="D111" s="140"/>
      <c r="E111" s="404" t="s">
        <v>544</v>
      </c>
      <c r="F111" s="404"/>
      <c r="G111" s="404"/>
      <c r="H111" s="404"/>
      <c r="I111" s="404"/>
      <c r="J111" s="404"/>
    </row>
    <row r="112" spans="2:10" ht="12.75">
      <c r="B112" s="140"/>
      <c r="C112" s="140"/>
      <c r="D112" s="140"/>
      <c r="E112" s="61"/>
      <c r="F112" s="61"/>
      <c r="G112" s="61"/>
      <c r="J112"/>
    </row>
    <row r="113" spans="2:16" ht="12.75" customHeight="1">
      <c r="B113" s="140"/>
      <c r="C113" s="140"/>
      <c r="D113" s="140"/>
      <c r="E113" s="405">
        <v>2005</v>
      </c>
      <c r="F113" s="408" t="s">
        <v>335</v>
      </c>
      <c r="G113" s="408" t="s">
        <v>336</v>
      </c>
      <c r="H113" s="408" t="s">
        <v>337</v>
      </c>
      <c r="I113" s="409" t="s">
        <v>338</v>
      </c>
      <c r="J113" s="397" t="s">
        <v>339</v>
      </c>
      <c r="K113" s="272"/>
      <c r="L113" s="273"/>
      <c r="M113" s="273"/>
      <c r="N113" s="273"/>
      <c r="O113" s="274"/>
      <c r="P113" s="275"/>
    </row>
    <row r="114" spans="2:16" ht="12.75" customHeight="1">
      <c r="B114" s="140"/>
      <c r="C114" s="140"/>
      <c r="D114" s="140"/>
      <c r="E114" s="406"/>
      <c r="F114" s="408"/>
      <c r="G114" s="408"/>
      <c r="H114" s="408"/>
      <c r="I114" s="409"/>
      <c r="J114" s="397"/>
      <c r="K114" s="272"/>
      <c r="L114" s="273"/>
      <c r="M114" s="273"/>
      <c r="N114" s="273"/>
      <c r="O114" s="274"/>
      <c r="P114" s="275"/>
    </row>
    <row r="115" spans="2:16" ht="12.75">
      <c r="B115" s="64"/>
      <c r="C115" s="64"/>
      <c r="D115" s="64"/>
      <c r="E115" s="407"/>
      <c r="F115" s="426" t="s">
        <v>340</v>
      </c>
      <c r="G115" s="426"/>
      <c r="H115" s="426"/>
      <c r="I115" s="426"/>
      <c r="J115" s="426"/>
      <c r="K115" s="272"/>
      <c r="L115" s="276"/>
      <c r="M115" s="276"/>
      <c r="N115" s="276"/>
      <c r="O115" s="276"/>
      <c r="P115" s="276"/>
    </row>
    <row r="116" spans="2:16" ht="12.75">
      <c r="B116" s="140"/>
      <c r="C116" s="140"/>
      <c r="D116" s="140"/>
      <c r="E116" s="141" t="s">
        <v>105</v>
      </c>
      <c r="F116" s="54">
        <v>2151.555</v>
      </c>
      <c r="G116" s="54">
        <v>1167.987</v>
      </c>
      <c r="H116" s="53">
        <v>3319.542</v>
      </c>
      <c r="I116" s="54">
        <v>18.4419</v>
      </c>
      <c r="J116" s="55">
        <v>3301.1001</v>
      </c>
      <c r="K116" s="218"/>
      <c r="L116" s="265"/>
      <c r="M116" s="265"/>
      <c r="N116" s="202"/>
      <c r="O116" s="202"/>
      <c r="P116" s="266"/>
    </row>
    <row r="117" spans="2:16" ht="12.75">
      <c r="B117" s="140"/>
      <c r="C117" s="140"/>
      <c r="D117" s="140"/>
      <c r="E117" s="141" t="s">
        <v>106</v>
      </c>
      <c r="F117" s="54">
        <v>921.6984000000002</v>
      </c>
      <c r="G117" s="54">
        <v>1166.004</v>
      </c>
      <c r="H117" s="53">
        <v>2087.7024</v>
      </c>
      <c r="I117" s="54">
        <v>52.19256</v>
      </c>
      <c r="J117" s="55">
        <v>2035.5098400000002</v>
      </c>
      <c r="K117" s="218"/>
      <c r="L117" s="265"/>
      <c r="M117" s="265"/>
      <c r="N117" s="202"/>
      <c r="O117" s="202"/>
      <c r="P117" s="266"/>
    </row>
    <row r="118" spans="2:16" ht="12.75">
      <c r="B118" s="140"/>
      <c r="C118" s="140"/>
      <c r="D118" s="140"/>
      <c r="E118" s="141" t="s">
        <v>107</v>
      </c>
      <c r="F118" s="54">
        <v>1721.2440000000001</v>
      </c>
      <c r="G118" s="54">
        <v>983.5680000000001</v>
      </c>
      <c r="H118" s="53">
        <v>2704.8120000000004</v>
      </c>
      <c r="I118" s="54">
        <v>12.294600000000003</v>
      </c>
      <c r="J118" s="55">
        <v>2692.5174</v>
      </c>
      <c r="K118" s="218"/>
      <c r="L118" s="265"/>
      <c r="M118" s="265"/>
      <c r="N118" s="202"/>
      <c r="O118" s="265"/>
      <c r="P118" s="266"/>
    </row>
    <row r="119" spans="2:16" ht="12.75">
      <c r="B119" s="140"/>
      <c r="C119" s="140"/>
      <c r="D119" s="140"/>
      <c r="E119" s="141" t="s">
        <v>108</v>
      </c>
      <c r="F119" s="54">
        <v>1743.0570000000002</v>
      </c>
      <c r="G119" s="54">
        <v>4878.18</v>
      </c>
      <c r="H119" s="53">
        <v>6621.237000000001</v>
      </c>
      <c r="I119" s="54">
        <v>20821.5</v>
      </c>
      <c r="J119" s="55">
        <v>-14200.262999999999</v>
      </c>
      <c r="K119" s="218"/>
      <c r="L119" s="265"/>
      <c r="M119" s="265"/>
      <c r="N119" s="202"/>
      <c r="O119" s="202"/>
      <c r="P119" s="266"/>
    </row>
    <row r="120" spans="2:16" ht="12.75">
      <c r="B120" s="140"/>
      <c r="C120" s="140"/>
      <c r="D120" s="140"/>
      <c r="E120" s="141" t="s">
        <v>109</v>
      </c>
      <c r="F120" s="54">
        <v>48194.832</v>
      </c>
      <c r="G120" s="54">
        <v>16905.075</v>
      </c>
      <c r="H120" s="53">
        <v>65099.90700000001</v>
      </c>
      <c r="I120" s="54">
        <v>54833.916</v>
      </c>
      <c r="J120" s="55">
        <v>10265.991000000009</v>
      </c>
      <c r="K120" s="218"/>
      <c r="L120" s="265"/>
      <c r="M120" s="265"/>
      <c r="N120" s="202"/>
      <c r="O120" s="202"/>
      <c r="P120" s="266"/>
    </row>
    <row r="121" spans="2:16" ht="12.75">
      <c r="B121" s="140"/>
      <c r="C121" s="140"/>
      <c r="D121" s="140"/>
      <c r="E121" s="141" t="s">
        <v>110</v>
      </c>
      <c r="F121" s="54">
        <v>4051.0707000000007</v>
      </c>
      <c r="G121" s="54">
        <v>8729.166000000001</v>
      </c>
      <c r="H121" s="53">
        <v>12780.236700000001</v>
      </c>
      <c r="I121" s="54">
        <v>17888.643</v>
      </c>
      <c r="J121" s="55">
        <v>-5108.406299999999</v>
      </c>
      <c r="K121" s="218"/>
      <c r="L121" s="265"/>
      <c r="M121" s="265"/>
      <c r="N121" s="202"/>
      <c r="O121" s="202"/>
      <c r="P121" s="266"/>
    </row>
    <row r="122" spans="2:16" ht="12.75">
      <c r="B122" s="140"/>
      <c r="C122" s="140"/>
      <c r="D122" s="140"/>
      <c r="E122" s="141" t="s">
        <v>111</v>
      </c>
      <c r="F122" s="54">
        <v>11207.916000000001</v>
      </c>
      <c r="G122" s="54">
        <v>89.235</v>
      </c>
      <c r="H122" s="53">
        <v>11297.151000000002</v>
      </c>
      <c r="I122" s="54">
        <v>4256.5095</v>
      </c>
      <c r="J122" s="55">
        <v>7040.6415000000015</v>
      </c>
      <c r="K122" s="218"/>
      <c r="L122" s="265"/>
      <c r="M122" s="265"/>
      <c r="N122" s="202"/>
      <c r="O122" s="202"/>
      <c r="P122" s="266"/>
    </row>
    <row r="123" spans="2:16" ht="12.75">
      <c r="B123" s="140"/>
      <c r="C123" s="140"/>
      <c r="D123" s="140"/>
      <c r="E123" s="141" t="s">
        <v>112</v>
      </c>
      <c r="F123" s="54">
        <v>3814.3996500000003</v>
      </c>
      <c r="G123" s="54">
        <v>59.49</v>
      </c>
      <c r="H123" s="53">
        <v>3873.88965</v>
      </c>
      <c r="I123" s="54">
        <v>4361.509350000001</v>
      </c>
      <c r="J123" s="55">
        <v>-487.6197000000011</v>
      </c>
      <c r="K123" s="218"/>
      <c r="L123" s="265"/>
      <c r="M123" s="265"/>
      <c r="N123" s="202"/>
      <c r="O123" s="202"/>
      <c r="P123" s="266"/>
    </row>
    <row r="124" spans="2:16" ht="12.75">
      <c r="B124" s="140"/>
      <c r="C124" s="140"/>
      <c r="D124" s="140"/>
      <c r="E124" s="141" t="s">
        <v>113</v>
      </c>
      <c r="F124" s="54">
        <v>776.3445</v>
      </c>
      <c r="G124" s="54">
        <v>5.65155</v>
      </c>
      <c r="H124" s="53">
        <v>781.9960500000001</v>
      </c>
      <c r="I124" s="54">
        <v>1154.1060000000002</v>
      </c>
      <c r="J124" s="55">
        <v>-372.10995000000014</v>
      </c>
      <c r="K124" s="218"/>
      <c r="L124" s="265"/>
      <c r="M124" s="265"/>
      <c r="N124" s="202"/>
      <c r="O124" s="202"/>
      <c r="P124" s="266"/>
    </row>
    <row r="125" spans="2:16" ht="12.75">
      <c r="B125" s="140"/>
      <c r="C125" s="140"/>
      <c r="D125" s="140"/>
      <c r="E125" s="141" t="s">
        <v>114</v>
      </c>
      <c r="F125" s="54">
        <v>1933.425</v>
      </c>
      <c r="G125" s="54">
        <v>404.53200000000004</v>
      </c>
      <c r="H125" s="53">
        <v>2337.957</v>
      </c>
      <c r="I125" s="54">
        <v>11.18412</v>
      </c>
      <c r="J125" s="55">
        <v>2326.77288</v>
      </c>
      <c r="K125" s="218"/>
      <c r="L125" s="265"/>
      <c r="M125" s="265"/>
      <c r="N125" s="202"/>
      <c r="O125" s="202"/>
      <c r="P125" s="266"/>
    </row>
    <row r="126" spans="2:16" ht="12.75">
      <c r="B126" s="140"/>
      <c r="C126" s="140"/>
      <c r="D126" s="140"/>
      <c r="E126" s="141" t="s">
        <v>115</v>
      </c>
      <c r="F126" s="54">
        <v>1552.689</v>
      </c>
      <c r="G126" s="54">
        <v>8864.01</v>
      </c>
      <c r="H126" s="53">
        <v>10416.699</v>
      </c>
      <c r="I126" s="54">
        <v>5693.193000000001</v>
      </c>
      <c r="J126" s="55">
        <v>4723.505999999999</v>
      </c>
      <c r="K126" s="218"/>
      <c r="L126" s="265"/>
      <c r="M126" s="265"/>
      <c r="N126" s="202"/>
      <c r="O126" s="202"/>
      <c r="P126" s="266"/>
    </row>
    <row r="127" spans="2:16" ht="12.75">
      <c r="B127" s="140"/>
      <c r="C127" s="140"/>
      <c r="D127" s="140"/>
      <c r="E127" s="141" t="s">
        <v>116</v>
      </c>
      <c r="F127" s="54">
        <v>1552.689</v>
      </c>
      <c r="G127" s="54">
        <v>2974.5</v>
      </c>
      <c r="H127" s="53">
        <v>4527.189</v>
      </c>
      <c r="I127" s="54">
        <v>89.235</v>
      </c>
      <c r="J127" s="55">
        <v>4437.954000000001</v>
      </c>
      <c r="K127" s="218"/>
      <c r="L127" s="265"/>
      <c r="M127" s="265"/>
      <c r="N127" s="202"/>
      <c r="O127" s="202"/>
      <c r="P127" s="266"/>
    </row>
    <row r="128" spans="2:16" ht="12.75">
      <c r="B128" s="142"/>
      <c r="C128" s="142"/>
      <c r="D128" s="142"/>
      <c r="E128" s="143" t="s">
        <v>341</v>
      </c>
      <c r="F128" s="57">
        <v>79620.92025000002</v>
      </c>
      <c r="G128" s="57">
        <v>46227.398550000005</v>
      </c>
      <c r="H128" s="144">
        <v>125848.3188</v>
      </c>
      <c r="I128" s="57">
        <v>109192.72503</v>
      </c>
      <c r="J128" s="58">
        <v>16655.593769999992</v>
      </c>
      <c r="K128" s="267"/>
      <c r="L128" s="268"/>
      <c r="M128" s="268"/>
      <c r="N128" s="268"/>
      <c r="O128" s="268"/>
      <c r="P128" s="269"/>
    </row>
    <row r="129" spans="2:16" ht="12.75">
      <c r="B129" s="61"/>
      <c r="C129" s="61"/>
      <c r="D129" s="61"/>
      <c r="E129" s="145" t="s">
        <v>412</v>
      </c>
      <c r="F129" s="295">
        <f>F128/H128</f>
        <v>0.6326736901152789</v>
      </c>
      <c r="G129" s="295">
        <f>G128/H128</f>
        <v>0.36732630988472137</v>
      </c>
      <c r="H129" s="61"/>
      <c r="I129" s="61"/>
      <c r="J129"/>
      <c r="K129" s="270"/>
      <c r="L129" s="271"/>
      <c r="M129" s="271"/>
      <c r="N129" s="231"/>
      <c r="O129" s="231"/>
      <c r="P129" s="231"/>
    </row>
    <row r="130" spans="1:10" ht="12.75">
      <c r="A130"/>
      <c r="B130"/>
      <c r="C130"/>
      <c r="D130"/>
      <c r="E130"/>
      <c r="F130"/>
      <c r="G130"/>
      <c r="H130"/>
      <c r="I130"/>
      <c r="J130"/>
    </row>
  </sheetData>
  <mergeCells count="10">
    <mergeCell ref="A1:G1"/>
    <mergeCell ref="A37:G37"/>
    <mergeCell ref="E111:J111"/>
    <mergeCell ref="E113:E115"/>
    <mergeCell ref="F113:F114"/>
    <mergeCell ref="G113:G114"/>
    <mergeCell ref="H113:H114"/>
    <mergeCell ref="I113:I114"/>
    <mergeCell ref="J113:J114"/>
    <mergeCell ref="F115:J115"/>
  </mergeCells>
  <printOptions/>
  <pageMargins left="0.75" right="0.75" top="1" bottom="1" header="0.5" footer="0.5"/>
  <pageSetup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T14"/>
  <sheetViews>
    <sheetView workbookViewId="0" topLeftCell="A1">
      <selection activeCell="P11" sqref="P11:P14"/>
    </sheetView>
  </sheetViews>
  <sheetFormatPr defaultColWidth="9.140625" defaultRowHeight="12.75"/>
  <cols>
    <col min="1" max="1" width="35.7109375" style="15" bestFit="1" customWidth="1"/>
    <col min="2" max="20" width="7.00390625" style="15" bestFit="1" customWidth="1"/>
    <col min="21" max="16384" width="9.140625" style="15" customWidth="1"/>
  </cols>
  <sheetData>
    <row r="1" spans="1:20" ht="11.25">
      <c r="A1" s="440" t="s">
        <v>129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5"/>
      <c r="T1" s="45"/>
    </row>
    <row r="2" spans="1:20" ht="12.75">
      <c r="A2" s="2" t="s">
        <v>0</v>
      </c>
      <c r="B2" s="306">
        <v>38378</v>
      </c>
      <c r="C2" s="306">
        <v>38411</v>
      </c>
      <c r="D2" s="306">
        <v>38420</v>
      </c>
      <c r="E2" s="306">
        <v>38440</v>
      </c>
      <c r="F2" s="306">
        <v>38449</v>
      </c>
      <c r="G2" s="306">
        <v>38503</v>
      </c>
      <c r="H2" s="306">
        <v>38524</v>
      </c>
      <c r="I2" s="306">
        <v>38541</v>
      </c>
      <c r="J2" s="306">
        <v>38554</v>
      </c>
      <c r="K2" s="306">
        <v>38568</v>
      </c>
      <c r="L2" s="306">
        <v>38581</v>
      </c>
      <c r="M2" s="306">
        <v>38595</v>
      </c>
      <c r="N2" s="306">
        <v>38610</v>
      </c>
      <c r="O2" s="306">
        <v>38624</v>
      </c>
      <c r="P2" s="306">
        <v>38653</v>
      </c>
      <c r="Q2" s="306">
        <v>38686</v>
      </c>
      <c r="R2" s="306">
        <v>38686</v>
      </c>
      <c r="S2" s="306">
        <v>38708</v>
      </c>
      <c r="T2" s="306">
        <v>38338</v>
      </c>
    </row>
    <row r="3" spans="1:20" ht="12.75">
      <c r="A3" t="s">
        <v>1</v>
      </c>
      <c r="B3"/>
      <c r="C3">
        <v>4.5</v>
      </c>
      <c r="D3"/>
      <c r="E3">
        <v>6.6</v>
      </c>
      <c r="F3">
        <v>7.5</v>
      </c>
      <c r="G3" s="10">
        <v>14.6</v>
      </c>
      <c r="H3">
        <v>16.5</v>
      </c>
      <c r="I3">
        <v>18.9</v>
      </c>
      <c r="J3">
        <v>20.5</v>
      </c>
      <c r="K3"/>
      <c r="L3">
        <v>20.5</v>
      </c>
      <c r="M3">
        <v>19.7</v>
      </c>
      <c r="N3">
        <v>18</v>
      </c>
      <c r="O3">
        <v>16.3</v>
      </c>
      <c r="P3">
        <v>11.7</v>
      </c>
      <c r="Q3">
        <v>3.7</v>
      </c>
      <c r="R3">
        <v>3.7</v>
      </c>
      <c r="S3"/>
      <c r="T3" s="15">
        <v>2.8</v>
      </c>
    </row>
    <row r="4" spans="1:20" ht="12.75">
      <c r="A4" t="s">
        <v>2</v>
      </c>
      <c r="B4"/>
      <c r="C4">
        <v>4.4</v>
      </c>
      <c r="D4"/>
      <c r="E4">
        <v>6.6</v>
      </c>
      <c r="F4">
        <v>7.5</v>
      </c>
      <c r="G4" s="10">
        <v>16.4</v>
      </c>
      <c r="H4">
        <v>16.5</v>
      </c>
      <c r="I4">
        <v>19.1</v>
      </c>
      <c r="J4">
        <v>21.7</v>
      </c>
      <c r="K4"/>
      <c r="L4">
        <v>20.5</v>
      </c>
      <c r="M4" s="10">
        <v>20</v>
      </c>
      <c r="N4">
        <v>18.1</v>
      </c>
      <c r="O4">
        <v>6.6</v>
      </c>
      <c r="P4">
        <v>11.8</v>
      </c>
      <c r="Q4">
        <v>3.8</v>
      </c>
      <c r="R4">
        <v>3.8</v>
      </c>
      <c r="S4"/>
      <c r="T4" s="15">
        <v>2.7</v>
      </c>
    </row>
    <row r="5" spans="1:20" ht="12.75">
      <c r="A5" t="s">
        <v>3</v>
      </c>
      <c r="B5"/>
      <c r="C5">
        <v>4.7</v>
      </c>
      <c r="D5"/>
      <c r="E5">
        <v>6.7</v>
      </c>
      <c r="F5">
        <v>7.8</v>
      </c>
      <c r="G5" s="10">
        <v>16.7</v>
      </c>
      <c r="H5">
        <v>19.9</v>
      </c>
      <c r="I5">
        <v>21.1</v>
      </c>
      <c r="J5">
        <v>23.1</v>
      </c>
      <c r="K5"/>
      <c r="L5">
        <v>20.6</v>
      </c>
      <c r="M5">
        <v>20.3</v>
      </c>
      <c r="N5">
        <v>18.1</v>
      </c>
      <c r="O5">
        <v>16.7</v>
      </c>
      <c r="P5">
        <v>11.9</v>
      </c>
      <c r="Q5">
        <v>3.8</v>
      </c>
      <c r="R5">
        <v>3.8</v>
      </c>
      <c r="S5"/>
      <c r="T5" s="15">
        <v>2.6</v>
      </c>
    </row>
    <row r="6" spans="1:19" ht="12.75">
      <c r="A6" t="s">
        <v>541</v>
      </c>
      <c r="B6">
        <v>2.3</v>
      </c>
      <c r="C6"/>
      <c r="D6">
        <v>8.9</v>
      </c>
      <c r="E6">
        <v>10.2</v>
      </c>
      <c r="F6"/>
      <c r="G6" s="10"/>
      <c r="H6"/>
      <c r="I6">
        <v>21</v>
      </c>
      <c r="J6"/>
      <c r="K6">
        <v>17.7</v>
      </c>
      <c r="L6"/>
      <c r="M6"/>
      <c r="N6"/>
      <c r="O6"/>
      <c r="P6"/>
      <c r="Q6"/>
      <c r="R6"/>
      <c r="S6"/>
    </row>
    <row r="7" spans="1:20" ht="12.75">
      <c r="A7" t="s">
        <v>542</v>
      </c>
      <c r="B7"/>
      <c r="C7"/>
      <c r="D7">
        <v>10.5</v>
      </c>
      <c r="E7">
        <v>11</v>
      </c>
      <c r="F7"/>
      <c r="G7" s="10">
        <v>16.7</v>
      </c>
      <c r="H7"/>
      <c r="I7">
        <v>18.1</v>
      </c>
      <c r="J7"/>
      <c r="K7">
        <v>17.3</v>
      </c>
      <c r="L7"/>
      <c r="M7"/>
      <c r="N7"/>
      <c r="O7"/>
      <c r="P7"/>
      <c r="Q7"/>
      <c r="R7"/>
      <c r="S7"/>
      <c r="T7" s="15">
        <v>2.3</v>
      </c>
    </row>
    <row r="8" spans="1:20" ht="12.75">
      <c r="A8" t="s">
        <v>4</v>
      </c>
      <c r="B8">
        <v>4.4</v>
      </c>
      <c r="C8">
        <v>5.3</v>
      </c>
      <c r="D8"/>
      <c r="E8">
        <v>9.7</v>
      </c>
      <c r="F8">
        <v>10.4</v>
      </c>
      <c r="G8" s="10">
        <v>16.4</v>
      </c>
      <c r="H8">
        <v>18.8</v>
      </c>
      <c r="I8">
        <v>19.6</v>
      </c>
      <c r="J8">
        <v>21.7</v>
      </c>
      <c r="K8"/>
      <c r="L8">
        <v>19.1</v>
      </c>
      <c r="M8">
        <v>19.4</v>
      </c>
      <c r="N8">
        <v>10.1</v>
      </c>
      <c r="O8">
        <v>15.6</v>
      </c>
      <c r="P8">
        <v>12</v>
      </c>
      <c r="Q8">
        <v>2.9</v>
      </c>
      <c r="R8">
        <v>2.9</v>
      </c>
      <c r="S8">
        <v>5.5</v>
      </c>
      <c r="T8" s="15">
        <v>0.9</v>
      </c>
    </row>
    <row r="9" spans="1:20" ht="12.75">
      <c r="A9" t="s">
        <v>5</v>
      </c>
      <c r="B9">
        <v>4.2</v>
      </c>
      <c r="C9">
        <v>9.5</v>
      </c>
      <c r="D9"/>
      <c r="E9">
        <v>9.8</v>
      </c>
      <c r="F9">
        <v>12.9</v>
      </c>
      <c r="G9" s="10">
        <v>17</v>
      </c>
      <c r="H9">
        <v>21.8</v>
      </c>
      <c r="I9">
        <v>17.8</v>
      </c>
      <c r="J9" s="195" t="s">
        <v>556</v>
      </c>
      <c r="K9"/>
      <c r="L9">
        <v>15.7</v>
      </c>
      <c r="M9" s="195" t="s">
        <v>556</v>
      </c>
      <c r="N9">
        <v>9.7</v>
      </c>
      <c r="O9" s="195" t="s">
        <v>556</v>
      </c>
      <c r="P9">
        <v>11.7</v>
      </c>
      <c r="Q9">
        <v>0</v>
      </c>
      <c r="R9">
        <v>0</v>
      </c>
      <c r="S9">
        <v>0</v>
      </c>
      <c r="T9" s="15">
        <v>1</v>
      </c>
    </row>
    <row r="10" spans="1:19" ht="12.75">
      <c r="A10" t="s">
        <v>6</v>
      </c>
      <c r="B10">
        <v>1.1</v>
      </c>
      <c r="C10">
        <v>5.4</v>
      </c>
      <c r="D10"/>
      <c r="E10">
        <v>7.7</v>
      </c>
      <c r="F10">
        <v>8.5</v>
      </c>
      <c r="G10" s="10">
        <v>14.4</v>
      </c>
      <c r="H10">
        <v>15.7</v>
      </c>
      <c r="I10">
        <v>14.1</v>
      </c>
      <c r="J10">
        <v>17.7</v>
      </c>
      <c r="K10"/>
      <c r="L10">
        <v>13.6</v>
      </c>
      <c r="M10">
        <v>13.3</v>
      </c>
      <c r="N10">
        <v>10.6</v>
      </c>
      <c r="O10">
        <v>10.9</v>
      </c>
      <c r="P10">
        <v>8.6</v>
      </c>
      <c r="Q10">
        <v>0.4</v>
      </c>
      <c r="R10">
        <v>0.4</v>
      </c>
      <c r="S10">
        <v>0.9</v>
      </c>
    </row>
    <row r="11" spans="1:19" ht="12.75">
      <c r="A11" t="s">
        <v>549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>
        <v>5.6</v>
      </c>
      <c r="Q11"/>
      <c r="R11"/>
      <c r="S11"/>
    </row>
    <row r="12" spans="1:19" ht="12.75">
      <c r="A12" t="s">
        <v>550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>
        <v>7.4</v>
      </c>
      <c r="Q12"/>
      <c r="R12"/>
      <c r="S12"/>
    </row>
    <row r="13" spans="1:19" ht="12.75">
      <c r="A13" t="s">
        <v>551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>
        <v>7.4</v>
      </c>
      <c r="Q13"/>
      <c r="R13"/>
      <c r="S13"/>
    </row>
    <row r="14" spans="1:19" ht="12.75">
      <c r="A14" t="s">
        <v>552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>
        <v>7.8</v>
      </c>
      <c r="Q14"/>
      <c r="R14"/>
      <c r="S14"/>
    </row>
  </sheetData>
  <mergeCells count="1">
    <mergeCell ref="A1:R1"/>
  </mergeCells>
  <printOptions/>
  <pageMargins left="0.5" right="0.5" top="1" bottom="1" header="0.5" footer="0.5"/>
  <pageSetup orientation="landscape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B1">
      <selection activeCell="S16" sqref="S16"/>
    </sheetView>
  </sheetViews>
  <sheetFormatPr defaultColWidth="9.140625" defaultRowHeight="12.75"/>
  <cols>
    <col min="1" max="1" width="29.8515625" style="15" bestFit="1" customWidth="1"/>
    <col min="2" max="16" width="7.8515625" style="15" bestFit="1" customWidth="1"/>
    <col min="17" max="16384" width="9.140625" style="15" customWidth="1"/>
  </cols>
  <sheetData>
    <row r="1" spans="1:19" ht="11.25">
      <c r="A1" s="440" t="s">
        <v>133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5"/>
      <c r="S1" s="45"/>
    </row>
    <row r="2" spans="1:19" ht="12.75">
      <c r="A2" s="2" t="s">
        <v>0</v>
      </c>
      <c r="B2" s="1">
        <v>38378</v>
      </c>
      <c r="C2" s="1">
        <v>38411</v>
      </c>
      <c r="D2" s="1">
        <v>38420</v>
      </c>
      <c r="E2" s="1">
        <v>38440</v>
      </c>
      <c r="F2" s="1">
        <v>38449</v>
      </c>
      <c r="G2" s="1">
        <v>38503</v>
      </c>
      <c r="H2" s="1">
        <v>38524</v>
      </c>
      <c r="I2" s="1">
        <v>38541</v>
      </c>
      <c r="J2" s="1">
        <v>38554</v>
      </c>
      <c r="K2" s="1">
        <v>38568</v>
      </c>
      <c r="L2" s="1">
        <v>38581</v>
      </c>
      <c r="M2" s="1">
        <v>38595</v>
      </c>
      <c r="N2" s="1">
        <v>38610</v>
      </c>
      <c r="O2" s="1">
        <v>38624</v>
      </c>
      <c r="P2" s="1">
        <v>38653</v>
      </c>
      <c r="Q2" s="1">
        <v>38686</v>
      </c>
      <c r="R2" s="1">
        <v>38708</v>
      </c>
      <c r="S2" s="20"/>
    </row>
    <row r="3" spans="1:18" ht="12.75">
      <c r="A3" t="s">
        <v>1</v>
      </c>
      <c r="B3"/>
      <c r="C3">
        <v>1130</v>
      </c>
      <c r="D3"/>
      <c r="E3">
        <v>1230</v>
      </c>
      <c r="F3">
        <v>1030</v>
      </c>
      <c r="G3">
        <v>1045</v>
      </c>
      <c r="H3">
        <v>1030</v>
      </c>
      <c r="I3">
        <v>1040</v>
      </c>
      <c r="J3">
        <v>1030</v>
      </c>
      <c r="K3"/>
      <c r="L3">
        <v>1030</v>
      </c>
      <c r="M3">
        <v>1045</v>
      </c>
      <c r="N3">
        <v>950</v>
      </c>
      <c r="O3">
        <v>1040</v>
      </c>
      <c r="P3">
        <v>1530</v>
      </c>
      <c r="Q3">
        <v>1030</v>
      </c>
      <c r="R3"/>
    </row>
    <row r="4" spans="1:18" ht="12.75">
      <c r="A4" t="s">
        <v>2</v>
      </c>
      <c r="B4"/>
      <c r="C4">
        <v>1145</v>
      </c>
      <c r="D4"/>
      <c r="E4">
        <v>1215</v>
      </c>
      <c r="F4">
        <v>1045</v>
      </c>
      <c r="G4">
        <v>1030</v>
      </c>
      <c r="H4">
        <v>1045</v>
      </c>
      <c r="I4">
        <v>1050</v>
      </c>
      <c r="J4">
        <v>1045</v>
      </c>
      <c r="K4"/>
      <c r="L4">
        <v>1045</v>
      </c>
      <c r="M4">
        <v>1030</v>
      </c>
      <c r="N4">
        <v>935</v>
      </c>
      <c r="O4">
        <v>1020</v>
      </c>
      <c r="P4">
        <v>1545</v>
      </c>
      <c r="Q4">
        <v>1035</v>
      </c>
      <c r="R4"/>
    </row>
    <row r="5" spans="1:18" ht="12.75">
      <c r="A5" t="s">
        <v>3</v>
      </c>
      <c r="B5"/>
      <c r="C5">
        <v>1200</v>
      </c>
      <c r="D5"/>
      <c r="E5">
        <v>1206</v>
      </c>
      <c r="F5">
        <v>1100</v>
      </c>
      <c r="G5">
        <v>1015</v>
      </c>
      <c r="H5">
        <v>1100</v>
      </c>
      <c r="I5">
        <v>1100</v>
      </c>
      <c r="J5">
        <v>1100</v>
      </c>
      <c r="K5"/>
      <c r="L5">
        <v>1100</v>
      </c>
      <c r="M5">
        <v>1015</v>
      </c>
      <c r="N5">
        <v>920</v>
      </c>
      <c r="O5">
        <v>1000</v>
      </c>
      <c r="P5">
        <v>1600</v>
      </c>
      <c r="Q5">
        <v>1040</v>
      </c>
      <c r="R5"/>
    </row>
    <row r="6" spans="1:18" ht="12.75">
      <c r="A6" t="s">
        <v>541</v>
      </c>
      <c r="B6"/>
      <c r="C6"/>
      <c r="D6">
        <v>1230</v>
      </c>
      <c r="E6">
        <v>1050</v>
      </c>
      <c r="F6"/>
      <c r="G6"/>
      <c r="H6"/>
      <c r="I6">
        <v>1115</v>
      </c>
      <c r="J6"/>
      <c r="K6">
        <v>1700</v>
      </c>
      <c r="L6"/>
      <c r="M6"/>
      <c r="N6"/>
      <c r="O6"/>
      <c r="P6"/>
      <c r="Q6"/>
      <c r="R6"/>
    </row>
    <row r="7" spans="1:18" ht="12.75">
      <c r="A7" t="s">
        <v>542</v>
      </c>
      <c r="B7">
        <v>1030</v>
      </c>
      <c r="C7"/>
      <c r="D7">
        <v>1200</v>
      </c>
      <c r="E7">
        <v>1135</v>
      </c>
      <c r="F7"/>
      <c r="G7">
        <v>1145</v>
      </c>
      <c r="H7"/>
      <c r="I7">
        <v>940</v>
      </c>
      <c r="J7"/>
      <c r="K7">
        <v>1715</v>
      </c>
      <c r="L7"/>
      <c r="M7"/>
      <c r="N7"/>
      <c r="O7"/>
      <c r="P7"/>
      <c r="Q7"/>
      <c r="R7"/>
    </row>
    <row r="8" spans="1:18" ht="12.75">
      <c r="A8" t="s">
        <v>4</v>
      </c>
      <c r="B8">
        <v>1050</v>
      </c>
      <c r="C8">
        <v>1030</v>
      </c>
      <c r="D8"/>
      <c r="E8">
        <v>1125</v>
      </c>
      <c r="F8">
        <v>1120</v>
      </c>
      <c r="G8">
        <v>1130</v>
      </c>
      <c r="H8">
        <v>910</v>
      </c>
      <c r="I8">
        <v>925</v>
      </c>
      <c r="J8">
        <v>1230</v>
      </c>
      <c r="K8"/>
      <c r="L8">
        <v>835</v>
      </c>
      <c r="M8">
        <v>945</v>
      </c>
      <c r="N8">
        <v>1030</v>
      </c>
      <c r="O8">
        <v>920</v>
      </c>
      <c r="P8">
        <v>1425</v>
      </c>
      <c r="Q8">
        <v>850</v>
      </c>
      <c r="R8">
        <v>1500</v>
      </c>
    </row>
    <row r="9" spans="1:18" ht="12.75">
      <c r="A9" t="s">
        <v>5</v>
      </c>
      <c r="B9">
        <v>1130</v>
      </c>
      <c r="C9">
        <v>1300</v>
      </c>
      <c r="D9"/>
      <c r="E9">
        <v>1255</v>
      </c>
      <c r="F9">
        <v>1215</v>
      </c>
      <c r="G9">
        <v>1225</v>
      </c>
      <c r="H9">
        <v>1130</v>
      </c>
      <c r="I9">
        <v>840</v>
      </c>
      <c r="J9" s="195" t="s">
        <v>556</v>
      </c>
      <c r="K9"/>
      <c r="L9">
        <v>930</v>
      </c>
      <c r="M9" s="195" t="s">
        <v>556</v>
      </c>
      <c r="N9">
        <v>800</v>
      </c>
      <c r="O9" s="195" t="s">
        <v>556</v>
      </c>
      <c r="P9">
        <v>1350</v>
      </c>
      <c r="Q9">
        <v>1100</v>
      </c>
      <c r="R9">
        <v>1550</v>
      </c>
    </row>
    <row r="10" spans="1:18" ht="12.75">
      <c r="A10" t="s">
        <v>6</v>
      </c>
      <c r="B10">
        <v>1110</v>
      </c>
      <c r="C10">
        <v>1230</v>
      </c>
      <c r="D10"/>
      <c r="E10">
        <v>1110</v>
      </c>
      <c r="F10">
        <v>1140</v>
      </c>
      <c r="G10">
        <v>1200</v>
      </c>
      <c r="H10">
        <v>940</v>
      </c>
      <c r="I10">
        <v>900</v>
      </c>
      <c r="J10">
        <v>1145</v>
      </c>
      <c r="K10"/>
      <c r="L10">
        <v>910</v>
      </c>
      <c r="M10">
        <v>920</v>
      </c>
      <c r="N10">
        <v>830</v>
      </c>
      <c r="O10">
        <v>850</v>
      </c>
      <c r="P10">
        <v>1400</v>
      </c>
      <c r="Q10">
        <v>925</v>
      </c>
      <c r="R10">
        <v>1530</v>
      </c>
    </row>
    <row r="11" spans="1:18" ht="12.75">
      <c r="A11" t="s">
        <v>549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>
        <v>1110</v>
      </c>
      <c r="Q11"/>
      <c r="R11"/>
    </row>
    <row r="12" spans="1:18" ht="12.75">
      <c r="A12" t="s">
        <v>550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>
        <v>1205</v>
      </c>
      <c r="Q12"/>
      <c r="R12"/>
    </row>
    <row r="13" spans="1:18" ht="12.75">
      <c r="A13" t="s">
        <v>551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>
        <v>1145</v>
      </c>
      <c r="Q13"/>
      <c r="R13"/>
    </row>
    <row r="14" spans="1:18" ht="12.75">
      <c r="A14" t="s">
        <v>552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>
        <v>1220</v>
      </c>
      <c r="Q14"/>
      <c r="R14"/>
    </row>
  </sheetData>
  <mergeCells count="1">
    <mergeCell ref="A1:Q1"/>
  </mergeCells>
  <printOptions/>
  <pageMargins left="0.75" right="0.75" top="1" bottom="1" header="0.5" footer="0.5"/>
  <pageSetup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O3"/>
  <sheetViews>
    <sheetView workbookViewId="0" topLeftCell="A1">
      <selection activeCell="C11" sqref="C10:C11"/>
    </sheetView>
  </sheetViews>
  <sheetFormatPr defaultColWidth="9.140625" defaultRowHeight="12.75"/>
  <cols>
    <col min="1" max="1" width="29.8515625" style="15" bestFit="1" customWidth="1"/>
    <col min="2" max="12" width="7.8515625" style="15" bestFit="1" customWidth="1"/>
    <col min="13" max="13" width="8.7109375" style="15" bestFit="1" customWidth="1"/>
    <col min="14" max="16384" width="9.140625" style="15" customWidth="1"/>
  </cols>
  <sheetData>
    <row r="1" spans="1:15" ht="11.25">
      <c r="A1" s="440" t="s">
        <v>134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5"/>
      <c r="O1" s="45"/>
    </row>
    <row r="2" spans="1:15" ht="12.75">
      <c r="A2" s="16" t="s">
        <v>0</v>
      </c>
      <c r="B2" s="1">
        <v>38411</v>
      </c>
      <c r="C2" s="1">
        <v>38440</v>
      </c>
      <c r="D2" s="1">
        <v>38449</v>
      </c>
      <c r="E2" s="1">
        <v>38503</v>
      </c>
      <c r="F2" s="1">
        <v>38524</v>
      </c>
      <c r="G2" s="1">
        <v>38541</v>
      </c>
      <c r="H2" s="1">
        <v>38554</v>
      </c>
      <c r="I2" s="1">
        <v>38581</v>
      </c>
      <c r="J2" s="1">
        <v>38595</v>
      </c>
      <c r="K2" s="1">
        <v>38610</v>
      </c>
      <c r="L2" s="1">
        <v>38624</v>
      </c>
      <c r="M2" s="1">
        <v>38653</v>
      </c>
      <c r="N2" s="1">
        <v>38686</v>
      </c>
      <c r="O2" s="1">
        <v>38708</v>
      </c>
    </row>
    <row r="3" spans="1:15" ht="12.75">
      <c r="A3" s="15" t="s">
        <v>1</v>
      </c>
      <c r="B3">
        <v>11</v>
      </c>
      <c r="C3">
        <v>10.5</v>
      </c>
      <c r="D3">
        <v>11</v>
      </c>
      <c r="E3">
        <v>12</v>
      </c>
      <c r="F3">
        <v>12</v>
      </c>
      <c r="G3">
        <v>13</v>
      </c>
      <c r="H3">
        <v>13</v>
      </c>
      <c r="I3">
        <v>13</v>
      </c>
      <c r="J3">
        <v>11</v>
      </c>
      <c r="K3">
        <v>12</v>
      </c>
      <c r="L3">
        <v>11</v>
      </c>
      <c r="M3">
        <v>11.5</v>
      </c>
      <c r="N3">
        <v>12</v>
      </c>
      <c r="O3" t="s">
        <v>575</v>
      </c>
    </row>
  </sheetData>
  <mergeCells count="1">
    <mergeCell ref="A1:M1"/>
  </mergeCells>
  <printOptions/>
  <pageMargins left="0.75" right="0.75" top="1" bottom="1" header="0.5" footer="0.5"/>
  <pageSetup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O9" sqref="O9:O12"/>
    </sheetView>
  </sheetViews>
  <sheetFormatPr defaultColWidth="9.140625" defaultRowHeight="12.75"/>
  <cols>
    <col min="1" max="1" width="29.8515625" style="15" bestFit="1" customWidth="1"/>
    <col min="2" max="14" width="7.8515625" style="15" bestFit="1" customWidth="1"/>
    <col min="15" max="16384" width="9.140625" style="15" customWidth="1"/>
  </cols>
  <sheetData>
    <row r="1" spans="1:19" ht="11.25">
      <c r="A1" s="440" t="s">
        <v>117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5"/>
      <c r="R1" s="45"/>
      <c r="S1" s="313"/>
    </row>
    <row r="2" spans="1:19" ht="12.75">
      <c r="A2" s="16" t="s">
        <v>0</v>
      </c>
      <c r="B2" s="1">
        <v>38378</v>
      </c>
      <c r="C2" s="1">
        <v>38411</v>
      </c>
      <c r="D2" s="1">
        <v>38440</v>
      </c>
      <c r="E2" s="1">
        <v>38449</v>
      </c>
      <c r="F2" s="1">
        <v>38471</v>
      </c>
      <c r="G2" s="1">
        <v>38503</v>
      </c>
      <c r="H2" s="1">
        <v>38524</v>
      </c>
      <c r="I2" s="1">
        <v>38541</v>
      </c>
      <c r="J2" s="1">
        <v>38554</v>
      </c>
      <c r="K2" s="1">
        <v>38581</v>
      </c>
      <c r="L2" s="1">
        <v>38595</v>
      </c>
      <c r="M2" s="1">
        <v>38610</v>
      </c>
      <c r="N2" s="1">
        <v>38624</v>
      </c>
      <c r="O2" s="1">
        <v>38653</v>
      </c>
      <c r="P2" s="1">
        <v>38686</v>
      </c>
      <c r="Q2" s="1">
        <v>38708</v>
      </c>
      <c r="R2"/>
      <c r="S2" s="287"/>
    </row>
    <row r="3" spans="1:18" ht="12.75">
      <c r="A3" s="15" t="s">
        <v>1</v>
      </c>
      <c r="B3"/>
      <c r="C3">
        <v>0.01</v>
      </c>
      <c r="D3">
        <v>0</v>
      </c>
      <c r="E3">
        <v>0</v>
      </c>
      <c r="F3"/>
      <c r="G3">
        <v>0.23</v>
      </c>
      <c r="H3">
        <v>0</v>
      </c>
      <c r="I3">
        <v>0.007</v>
      </c>
      <c r="J3">
        <v>0.01</v>
      </c>
      <c r="K3">
        <v>0.01</v>
      </c>
      <c r="L3">
        <v>0</v>
      </c>
      <c r="M3">
        <v>0</v>
      </c>
      <c r="N3">
        <v>0.01</v>
      </c>
      <c r="O3">
        <v>0</v>
      </c>
      <c r="P3">
        <v>0.012</v>
      </c>
      <c r="Q3"/>
      <c r="R3">
        <f aca="true" t="shared" si="0" ref="R3:R8">MAX(B3:Q3)</f>
        <v>0.23</v>
      </c>
    </row>
    <row r="4" spans="1:18" ht="12.75">
      <c r="A4" s="15" t="s">
        <v>2</v>
      </c>
      <c r="B4"/>
      <c r="C4"/>
      <c r="D4"/>
      <c r="E4"/>
      <c r="F4"/>
      <c r="G4"/>
      <c r="H4"/>
      <c r="I4"/>
      <c r="J4"/>
      <c r="K4">
        <v>0.01</v>
      </c>
      <c r="L4"/>
      <c r="M4"/>
      <c r="N4"/>
      <c r="O4"/>
      <c r="P4"/>
      <c r="Q4"/>
      <c r="R4">
        <f t="shared" si="0"/>
        <v>0.01</v>
      </c>
    </row>
    <row r="5" spans="1:18" ht="12.75">
      <c r="A5" s="15" t="s">
        <v>3</v>
      </c>
      <c r="B5"/>
      <c r="C5"/>
      <c r="D5"/>
      <c r="E5"/>
      <c r="F5"/>
      <c r="G5"/>
      <c r="H5"/>
      <c r="I5"/>
      <c r="J5"/>
      <c r="K5">
        <v>0</v>
      </c>
      <c r="L5"/>
      <c r="M5"/>
      <c r="N5"/>
      <c r="O5"/>
      <c r="P5"/>
      <c r="Q5"/>
      <c r="R5">
        <f t="shared" si="0"/>
        <v>0</v>
      </c>
    </row>
    <row r="6" spans="1:18" ht="12.75">
      <c r="A6" s="15" t="s">
        <v>4</v>
      </c>
      <c r="B6"/>
      <c r="C6"/>
      <c r="D6"/>
      <c r="E6"/>
      <c r="F6"/>
      <c r="G6"/>
      <c r="H6"/>
      <c r="I6"/>
      <c r="J6"/>
      <c r="K6">
        <v>0</v>
      </c>
      <c r="L6"/>
      <c r="M6"/>
      <c r="N6"/>
      <c r="O6"/>
      <c r="P6"/>
      <c r="Q6"/>
      <c r="R6">
        <f t="shared" si="0"/>
        <v>0</v>
      </c>
    </row>
    <row r="7" spans="1:18" ht="12.75">
      <c r="A7" s="15" t="s">
        <v>5</v>
      </c>
      <c r="B7"/>
      <c r="C7"/>
      <c r="D7"/>
      <c r="E7"/>
      <c r="F7"/>
      <c r="G7"/>
      <c r="H7"/>
      <c r="I7"/>
      <c r="J7"/>
      <c r="K7">
        <v>0.01</v>
      </c>
      <c r="L7"/>
      <c r="M7"/>
      <c r="N7"/>
      <c r="O7"/>
      <c r="P7"/>
      <c r="Q7"/>
      <c r="R7">
        <f t="shared" si="0"/>
        <v>0.01</v>
      </c>
    </row>
    <row r="8" spans="1:18" ht="12.75">
      <c r="A8" s="15" t="s">
        <v>6</v>
      </c>
      <c r="B8">
        <v>0.012</v>
      </c>
      <c r="C8">
        <v>0.02</v>
      </c>
      <c r="D8">
        <v>0</v>
      </c>
      <c r="E8">
        <v>0.01</v>
      </c>
      <c r="F8">
        <v>0</v>
      </c>
      <c r="G8">
        <v>0.04</v>
      </c>
      <c r="H8">
        <v>0.01</v>
      </c>
      <c r="I8">
        <v>0.004</v>
      </c>
      <c r="J8">
        <v>0.01</v>
      </c>
      <c r="K8">
        <v>0</v>
      </c>
      <c r="L8">
        <v>0.03</v>
      </c>
      <c r="M8">
        <v>0</v>
      </c>
      <c r="N8">
        <v>0.01</v>
      </c>
      <c r="O8">
        <v>0</v>
      </c>
      <c r="P8">
        <v>0.005</v>
      </c>
      <c r="Q8">
        <v>0.008</v>
      </c>
      <c r="R8">
        <f t="shared" si="0"/>
        <v>0.04</v>
      </c>
    </row>
    <row r="9" spans="1:18" ht="12.75">
      <c r="A9" s="15" t="s">
        <v>549</v>
      </c>
      <c r="B9"/>
      <c r="C9"/>
      <c r="D9"/>
      <c r="E9"/>
      <c r="F9"/>
      <c r="G9"/>
      <c r="H9"/>
      <c r="I9"/>
      <c r="J9"/>
      <c r="K9"/>
      <c r="L9"/>
      <c r="M9"/>
      <c r="N9"/>
      <c r="O9">
        <v>0</v>
      </c>
      <c r="P9"/>
      <c r="Q9"/>
      <c r="R9"/>
    </row>
    <row r="10" spans="1:18" ht="12.75">
      <c r="A10" s="15" t="s">
        <v>550</v>
      </c>
      <c r="B10"/>
      <c r="C10"/>
      <c r="D10"/>
      <c r="E10"/>
      <c r="F10"/>
      <c r="G10"/>
      <c r="H10"/>
      <c r="I10"/>
      <c r="J10"/>
      <c r="K10"/>
      <c r="L10"/>
      <c r="M10"/>
      <c r="N10"/>
      <c r="O10">
        <v>0.02</v>
      </c>
      <c r="P10"/>
      <c r="Q10"/>
      <c r="R10"/>
    </row>
    <row r="11" spans="1:19" ht="12.75">
      <c r="A11" s="15" t="s">
        <v>551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>
        <v>0.02</v>
      </c>
      <c r="P11"/>
      <c r="Q11"/>
      <c r="R11"/>
      <c r="S11" s="313"/>
    </row>
    <row r="12" spans="1:19" ht="12.75">
      <c r="A12" s="15" t="s">
        <v>552</v>
      </c>
      <c r="B12"/>
      <c r="C12"/>
      <c r="D12"/>
      <c r="E12"/>
      <c r="F12"/>
      <c r="G12"/>
      <c r="H12"/>
      <c r="I12"/>
      <c r="J12"/>
      <c r="K12"/>
      <c r="L12"/>
      <c r="M12"/>
      <c r="N12"/>
      <c r="O12">
        <v>0</v>
      </c>
      <c r="P12"/>
      <c r="Q12"/>
      <c r="R12"/>
      <c r="S12" s="287"/>
    </row>
  </sheetData>
  <mergeCells count="1">
    <mergeCell ref="A1:P1"/>
  </mergeCells>
  <printOptions/>
  <pageMargins left="0.75" right="0.75" top="1" bottom="1" header="0.5" footer="0.5"/>
  <pageSetup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D65"/>
  <sheetViews>
    <sheetView workbookViewId="0" topLeftCell="A1">
      <selection activeCell="E39" sqref="E39"/>
    </sheetView>
  </sheetViews>
  <sheetFormatPr defaultColWidth="9.140625" defaultRowHeight="12.75"/>
  <cols>
    <col min="1" max="1" width="24.7109375" style="15" bestFit="1" customWidth="1"/>
    <col min="2" max="2" width="8.28125" style="15" bestFit="1" customWidth="1"/>
    <col min="3" max="3" width="10.00390625" style="15" customWidth="1"/>
    <col min="4" max="4" width="8.421875" style="15" bestFit="1" customWidth="1"/>
    <col min="5" max="5" width="10.00390625" style="15" bestFit="1" customWidth="1"/>
    <col min="6" max="6" width="8.140625" style="15" bestFit="1" customWidth="1"/>
    <col min="7" max="7" width="8.7109375" style="15" bestFit="1" customWidth="1"/>
    <col min="8" max="8" width="10.00390625" style="15" bestFit="1" customWidth="1"/>
    <col min="9" max="9" width="8.7109375" style="15" bestFit="1" customWidth="1"/>
    <col min="10" max="10" width="10.00390625" style="15" customWidth="1"/>
    <col min="11" max="11" width="7.140625" style="15" customWidth="1"/>
    <col min="12" max="12" width="4.7109375" style="15" customWidth="1"/>
    <col min="13" max="13" width="2.7109375" style="15" customWidth="1"/>
    <col min="14" max="14" width="4.28125" style="15" customWidth="1"/>
    <col min="15" max="16" width="4.421875" style="15" bestFit="1" customWidth="1"/>
    <col min="17" max="16384" width="9.140625" style="15" customWidth="1"/>
  </cols>
  <sheetData>
    <row r="1" spans="1:12" ht="11.25">
      <c r="A1" s="453" t="s">
        <v>529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</row>
    <row r="2" spans="1:15" ht="11.25">
      <c r="A2" s="288" t="s">
        <v>528</v>
      </c>
      <c r="B2" s="374">
        <v>37762</v>
      </c>
      <c r="C2" s="374">
        <v>37829</v>
      </c>
      <c r="D2" s="374">
        <v>37829</v>
      </c>
      <c r="E2" s="374">
        <v>37829</v>
      </c>
      <c r="F2" s="374">
        <v>38070</v>
      </c>
      <c r="G2" s="374">
        <v>38104</v>
      </c>
      <c r="H2" s="374">
        <v>38182</v>
      </c>
      <c r="I2" s="374">
        <v>38194</v>
      </c>
      <c r="J2" s="374">
        <v>38219</v>
      </c>
      <c r="K2" s="374">
        <v>38251</v>
      </c>
      <c r="L2" s="458" t="s">
        <v>588</v>
      </c>
      <c r="M2" s="459"/>
      <c r="N2" s="459"/>
      <c r="O2" s="460"/>
    </row>
    <row r="3" spans="1:15" ht="11.25">
      <c r="A3" s="288"/>
      <c r="B3" s="289"/>
      <c r="C3" s="455" t="s">
        <v>530</v>
      </c>
      <c r="D3" s="456"/>
      <c r="E3" s="457"/>
      <c r="F3" s="289"/>
      <c r="G3" s="289"/>
      <c r="H3" s="289"/>
      <c r="I3" s="289"/>
      <c r="J3" s="289"/>
      <c r="K3" s="289"/>
      <c r="L3" s="363" t="s">
        <v>474</v>
      </c>
      <c r="M3" s="363" t="s">
        <v>436</v>
      </c>
      <c r="N3" s="363" t="s">
        <v>565</v>
      </c>
      <c r="O3" s="363" t="s">
        <v>566</v>
      </c>
    </row>
    <row r="4" spans="1:15" ht="11.25">
      <c r="A4" s="330" t="s">
        <v>323</v>
      </c>
      <c r="B4" s="329"/>
      <c r="C4" s="329"/>
      <c r="D4" s="329"/>
      <c r="E4" s="329"/>
      <c r="F4" s="329">
        <v>160</v>
      </c>
      <c r="G4" s="329">
        <v>907</v>
      </c>
      <c r="H4" s="329">
        <v>107</v>
      </c>
      <c r="I4" s="329">
        <v>1040</v>
      </c>
      <c r="J4" s="329">
        <v>606</v>
      </c>
      <c r="K4" s="329">
        <v>980</v>
      </c>
      <c r="L4" s="350">
        <f aca="true" t="shared" si="0" ref="L4:L9">AVERAGE(B4:K4)</f>
        <v>633.3333333333334</v>
      </c>
      <c r="M4" s="349">
        <f aca="true" t="shared" si="1" ref="M4:M9">COUNT(B4:K4)</f>
        <v>6</v>
      </c>
      <c r="N4" s="349">
        <f aca="true" t="shared" si="2" ref="N4:N9">MIN(B4:K4)</f>
        <v>107</v>
      </c>
      <c r="O4" s="349">
        <f aca="true" t="shared" si="3" ref="O4:O9">MAX(B4:K4)</f>
        <v>1040</v>
      </c>
    </row>
    <row r="5" spans="1:17" ht="11.25">
      <c r="A5" s="330" t="s">
        <v>570</v>
      </c>
      <c r="B5" s="329">
        <v>936</v>
      </c>
      <c r="C5" s="329">
        <v>8265</v>
      </c>
      <c r="D5" s="329">
        <v>4093</v>
      </c>
      <c r="E5" s="329">
        <v>3719</v>
      </c>
      <c r="F5" s="329">
        <v>596</v>
      </c>
      <c r="G5" s="329">
        <v>1471</v>
      </c>
      <c r="H5" s="329">
        <v>1828</v>
      </c>
      <c r="I5" s="329">
        <v>1965</v>
      </c>
      <c r="J5" s="329">
        <v>1643</v>
      </c>
      <c r="K5" s="329">
        <v>2857</v>
      </c>
      <c r="L5" s="350">
        <f t="shared" si="0"/>
        <v>2737.3</v>
      </c>
      <c r="M5" s="349">
        <f t="shared" si="1"/>
        <v>10</v>
      </c>
      <c r="N5" s="349">
        <f t="shared" si="2"/>
        <v>596</v>
      </c>
      <c r="O5" s="349">
        <f t="shared" si="3"/>
        <v>8265</v>
      </c>
      <c r="Q5" s="15">
        <f>AVERAGE(C16:I16)</f>
        <v>72.28571428571429</v>
      </c>
    </row>
    <row r="6" spans="1:15" ht="11.25">
      <c r="A6" s="330" t="s">
        <v>103</v>
      </c>
      <c r="B6" s="329">
        <v>40</v>
      </c>
      <c r="C6" s="329">
        <v>2</v>
      </c>
      <c r="D6" s="329">
        <v>426</v>
      </c>
      <c r="E6" s="329">
        <v>532</v>
      </c>
      <c r="F6" s="329">
        <v>18</v>
      </c>
      <c r="G6" s="329">
        <v>81</v>
      </c>
      <c r="H6" s="329">
        <v>62</v>
      </c>
      <c r="I6" s="329">
        <v>62</v>
      </c>
      <c r="J6" s="329">
        <v>167</v>
      </c>
      <c r="K6" s="351">
        <v>220</v>
      </c>
      <c r="L6" s="350">
        <f t="shared" si="0"/>
        <v>161</v>
      </c>
      <c r="M6" s="349">
        <f t="shared" si="1"/>
        <v>10</v>
      </c>
      <c r="N6" s="349">
        <f t="shared" si="2"/>
        <v>2</v>
      </c>
      <c r="O6" s="349">
        <f t="shared" si="3"/>
        <v>532</v>
      </c>
    </row>
    <row r="7" spans="1:15" ht="11.25">
      <c r="A7" s="330" t="s">
        <v>154</v>
      </c>
      <c r="B7" s="329"/>
      <c r="C7" s="329"/>
      <c r="D7" s="329"/>
      <c r="E7" s="329"/>
      <c r="F7" s="329">
        <v>7.42</v>
      </c>
      <c r="G7" s="329">
        <v>7.55</v>
      </c>
      <c r="H7" s="329">
        <v>7.81</v>
      </c>
      <c r="I7" s="329">
        <v>7.92</v>
      </c>
      <c r="J7" s="329">
        <v>7.67</v>
      </c>
      <c r="K7" s="329">
        <v>7.58</v>
      </c>
      <c r="L7" s="352">
        <f t="shared" si="0"/>
        <v>7.658333333333332</v>
      </c>
      <c r="M7" s="350">
        <f t="shared" si="1"/>
        <v>6</v>
      </c>
      <c r="N7" s="349">
        <f t="shared" si="2"/>
        <v>7.42</v>
      </c>
      <c r="O7" s="349">
        <f t="shared" si="3"/>
        <v>7.92</v>
      </c>
    </row>
    <row r="8" spans="1:15" ht="22.5">
      <c r="A8" s="354" t="s">
        <v>104</v>
      </c>
      <c r="B8" s="329"/>
      <c r="C8" s="329">
        <v>267</v>
      </c>
      <c r="D8" s="329">
        <v>475</v>
      </c>
      <c r="E8" s="329">
        <v>236</v>
      </c>
      <c r="F8" s="329">
        <v>8.6</v>
      </c>
      <c r="G8" s="329">
        <v>32</v>
      </c>
      <c r="H8" s="329">
        <v>16</v>
      </c>
      <c r="I8" s="329">
        <v>8.4</v>
      </c>
      <c r="J8" s="329">
        <v>14.4</v>
      </c>
      <c r="K8" s="329">
        <v>20</v>
      </c>
      <c r="L8" s="350">
        <f t="shared" si="0"/>
        <v>119.71111111111112</v>
      </c>
      <c r="M8" s="349">
        <f t="shared" si="1"/>
        <v>9</v>
      </c>
      <c r="N8" s="349">
        <f t="shared" si="2"/>
        <v>8.4</v>
      </c>
      <c r="O8" s="349">
        <f t="shared" si="3"/>
        <v>475</v>
      </c>
    </row>
    <row r="9" spans="1:15" ht="11.25">
      <c r="A9" s="330" t="s">
        <v>129</v>
      </c>
      <c r="B9" s="329"/>
      <c r="C9" s="329"/>
      <c r="D9" s="329"/>
      <c r="E9" s="329"/>
      <c r="F9" s="329">
        <v>7.2</v>
      </c>
      <c r="G9" s="329">
        <v>11.1</v>
      </c>
      <c r="H9" s="329">
        <v>19</v>
      </c>
      <c r="I9" s="329">
        <v>21.1</v>
      </c>
      <c r="J9" s="329">
        <v>16.1</v>
      </c>
      <c r="K9" s="329">
        <v>12.3</v>
      </c>
      <c r="L9" s="350">
        <f t="shared" si="0"/>
        <v>14.466666666666667</v>
      </c>
      <c r="M9" s="349">
        <f t="shared" si="1"/>
        <v>6</v>
      </c>
      <c r="N9" s="349">
        <f t="shared" si="2"/>
        <v>7.2</v>
      </c>
      <c r="O9" s="349">
        <f t="shared" si="3"/>
        <v>21.1</v>
      </c>
    </row>
    <row r="10" spans="2:9" ht="11.25">
      <c r="B10" s="462" t="s">
        <v>590</v>
      </c>
      <c r="C10" s="462"/>
      <c r="D10" s="462"/>
      <c r="E10" s="462"/>
      <c r="F10" s="462"/>
      <c r="G10" s="462"/>
      <c r="H10" s="462" t="s">
        <v>591</v>
      </c>
      <c r="I10" s="462"/>
    </row>
    <row r="11" spans="1:30" ht="11.25">
      <c r="A11" s="290"/>
      <c r="B11" s="375">
        <v>38378</v>
      </c>
      <c r="C11" s="454">
        <v>38420</v>
      </c>
      <c r="D11" s="454"/>
      <c r="E11" s="454">
        <v>38440</v>
      </c>
      <c r="F11" s="454"/>
      <c r="G11" s="376">
        <v>38503</v>
      </c>
      <c r="H11" s="454">
        <v>38541</v>
      </c>
      <c r="I11" s="454"/>
      <c r="J11" s="454">
        <v>38568</v>
      </c>
      <c r="K11" s="454"/>
      <c r="L11" s="461" t="s">
        <v>568</v>
      </c>
      <c r="M11" s="461"/>
      <c r="N11" s="461"/>
      <c r="O11" s="461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</row>
    <row r="12" spans="1:15" ht="22.5">
      <c r="A12" s="369" t="s">
        <v>531</v>
      </c>
      <c r="B12" s="291" t="s">
        <v>533</v>
      </c>
      <c r="C12" s="291" t="s">
        <v>532</v>
      </c>
      <c r="D12" s="291" t="s">
        <v>533</v>
      </c>
      <c r="E12" s="291" t="s">
        <v>532</v>
      </c>
      <c r="F12" s="291" t="s">
        <v>533</v>
      </c>
      <c r="G12" s="291" t="s">
        <v>533</v>
      </c>
      <c r="H12" s="291" t="s">
        <v>532</v>
      </c>
      <c r="I12" s="291" t="s">
        <v>533</v>
      </c>
      <c r="J12" s="291" t="s">
        <v>532</v>
      </c>
      <c r="K12" s="291" t="s">
        <v>533</v>
      </c>
      <c r="L12" s="363" t="s">
        <v>474</v>
      </c>
      <c r="M12" s="363" t="s">
        <v>436</v>
      </c>
      <c r="N12" s="363" t="s">
        <v>565</v>
      </c>
      <c r="O12" s="363" t="s">
        <v>566</v>
      </c>
    </row>
    <row r="13" spans="1:15" ht="11.25">
      <c r="A13" s="330" t="s">
        <v>323</v>
      </c>
      <c r="B13" s="329">
        <v>137</v>
      </c>
      <c r="C13" s="353">
        <v>1200</v>
      </c>
      <c r="D13" s="353">
        <v>1480</v>
      </c>
      <c r="E13" s="353">
        <v>1430</v>
      </c>
      <c r="F13" s="353">
        <v>1650</v>
      </c>
      <c r="G13" s="353">
        <v>778</v>
      </c>
      <c r="H13" s="353">
        <v>138</v>
      </c>
      <c r="I13" s="353">
        <v>108</v>
      </c>
      <c r="J13" s="353">
        <v>309</v>
      </c>
      <c r="K13" s="353">
        <v>352</v>
      </c>
      <c r="L13" s="350">
        <f>AVERAGE(A13:K13)</f>
        <v>758.2</v>
      </c>
      <c r="M13" s="349">
        <f>COUNT(A13:K13)</f>
        <v>10</v>
      </c>
      <c r="N13" s="349">
        <f>MIN(A13:K13)</f>
        <v>108</v>
      </c>
      <c r="O13" s="349">
        <f>MAX(A13:K13)</f>
        <v>1650</v>
      </c>
    </row>
    <row r="14" spans="1:15" ht="11.25">
      <c r="A14" s="354" t="s">
        <v>587</v>
      </c>
      <c r="B14" s="355"/>
      <c r="C14" s="356">
        <v>2.5</v>
      </c>
      <c r="D14" s="356">
        <v>1.59</v>
      </c>
      <c r="E14" s="356">
        <v>1.77</v>
      </c>
      <c r="F14" s="356">
        <v>1.66</v>
      </c>
      <c r="G14" s="356">
        <v>0.737</v>
      </c>
      <c r="H14" s="356">
        <v>2.64</v>
      </c>
      <c r="I14" s="356">
        <v>2.51</v>
      </c>
      <c r="J14" s="356">
        <v>1.48</v>
      </c>
      <c r="K14" s="356">
        <v>1.51</v>
      </c>
      <c r="L14" s="350">
        <f aca="true" t="shared" si="4" ref="L14:L19">AVERAGE(A14:K14)</f>
        <v>1.8218888888888891</v>
      </c>
      <c r="M14" s="349">
        <f aca="true" t="shared" si="5" ref="M14:M19">COUNT(A14:K14)</f>
        <v>9</v>
      </c>
      <c r="N14" s="349">
        <f aca="true" t="shared" si="6" ref="N14:N19">MIN(A14:K14)</f>
        <v>0.737</v>
      </c>
      <c r="O14" s="349">
        <f aca="true" t="shared" si="7" ref="O14:O19">MAX(A14:K14)</f>
        <v>2.64</v>
      </c>
    </row>
    <row r="15" spans="1:15" ht="11.25">
      <c r="A15" s="354" t="s">
        <v>579</v>
      </c>
      <c r="B15" s="355">
        <v>25</v>
      </c>
      <c r="C15" s="356"/>
      <c r="D15" s="356"/>
      <c r="E15" s="356"/>
      <c r="F15" s="356"/>
      <c r="G15" s="356">
        <v>98</v>
      </c>
      <c r="H15" s="356"/>
      <c r="I15" s="356"/>
      <c r="J15" s="356"/>
      <c r="K15" s="356"/>
      <c r="L15" s="350">
        <f t="shared" si="4"/>
        <v>61.5</v>
      </c>
      <c r="M15" s="349">
        <f t="shared" si="5"/>
        <v>2</v>
      </c>
      <c r="N15" s="349">
        <f t="shared" si="6"/>
        <v>25</v>
      </c>
      <c r="O15" s="349">
        <f t="shared" si="7"/>
        <v>98</v>
      </c>
    </row>
    <row r="16" spans="1:15" ht="11.25">
      <c r="A16" s="354" t="s">
        <v>535</v>
      </c>
      <c r="B16" s="355">
        <v>45</v>
      </c>
      <c r="C16" s="356">
        <v>67</v>
      </c>
      <c r="D16" s="356">
        <v>45</v>
      </c>
      <c r="E16" s="356">
        <v>56</v>
      </c>
      <c r="F16" s="356">
        <v>51</v>
      </c>
      <c r="G16" s="356">
        <v>157</v>
      </c>
      <c r="H16" s="356">
        <v>101</v>
      </c>
      <c r="I16" s="356">
        <v>29</v>
      </c>
      <c r="J16" s="356">
        <v>379</v>
      </c>
      <c r="K16" s="356">
        <v>388</v>
      </c>
      <c r="L16" s="350">
        <f t="shared" si="4"/>
        <v>131.8</v>
      </c>
      <c r="M16" s="349">
        <f t="shared" si="5"/>
        <v>10</v>
      </c>
      <c r="N16" s="349">
        <f t="shared" si="6"/>
        <v>29</v>
      </c>
      <c r="O16" s="349">
        <f t="shared" si="7"/>
        <v>388</v>
      </c>
    </row>
    <row r="17" spans="1:15" ht="11.25">
      <c r="A17" s="354" t="s">
        <v>536</v>
      </c>
      <c r="B17" s="355">
        <v>16</v>
      </c>
      <c r="C17" s="356"/>
      <c r="D17" s="356">
        <v>16</v>
      </c>
      <c r="E17" s="356"/>
      <c r="F17" s="356">
        <v>3</v>
      </c>
      <c r="G17" s="356">
        <v>83</v>
      </c>
      <c r="H17" s="356"/>
      <c r="I17" s="356">
        <v>20</v>
      </c>
      <c r="J17" s="356">
        <v>10</v>
      </c>
      <c r="K17" s="356"/>
      <c r="L17" s="350">
        <f t="shared" si="4"/>
        <v>24.666666666666668</v>
      </c>
      <c r="M17" s="349">
        <f t="shared" si="5"/>
        <v>6</v>
      </c>
      <c r="N17" s="349">
        <f t="shared" si="6"/>
        <v>3</v>
      </c>
      <c r="O17" s="349">
        <f t="shared" si="7"/>
        <v>83</v>
      </c>
    </row>
    <row r="18" spans="1:15" ht="22.5">
      <c r="A18" s="354" t="s">
        <v>104</v>
      </c>
      <c r="B18" s="355"/>
      <c r="C18" s="356">
        <v>1.4</v>
      </c>
      <c r="D18" s="356">
        <v>10.6</v>
      </c>
      <c r="E18" s="356">
        <v>7.9</v>
      </c>
      <c r="F18" s="356">
        <v>26.6</v>
      </c>
      <c r="G18" s="356">
        <v>19.1</v>
      </c>
      <c r="H18" s="356">
        <v>24.8</v>
      </c>
      <c r="I18" s="356">
        <v>5.7</v>
      </c>
      <c r="J18" s="356">
        <v>151</v>
      </c>
      <c r="K18" s="356">
        <v>118</v>
      </c>
      <c r="L18" s="350">
        <f t="shared" si="4"/>
        <v>40.56666666666667</v>
      </c>
      <c r="M18" s="349">
        <f t="shared" si="5"/>
        <v>9</v>
      </c>
      <c r="N18" s="349">
        <f t="shared" si="6"/>
        <v>1.4</v>
      </c>
      <c r="O18" s="349">
        <f t="shared" si="7"/>
        <v>151</v>
      </c>
    </row>
    <row r="19" spans="1:15" ht="11.25">
      <c r="A19" s="354" t="s">
        <v>263</v>
      </c>
      <c r="B19" s="355">
        <v>6.3</v>
      </c>
      <c r="C19" s="356">
        <v>7.9</v>
      </c>
      <c r="D19" s="356">
        <v>6.1</v>
      </c>
      <c r="E19" s="356">
        <v>7.6</v>
      </c>
      <c r="F19" s="356">
        <v>8.2</v>
      </c>
      <c r="G19" s="356"/>
      <c r="H19" s="356">
        <v>7.3</v>
      </c>
      <c r="I19" s="356">
        <v>7.4</v>
      </c>
      <c r="J19" s="356"/>
      <c r="K19" s="356"/>
      <c r="L19" s="350">
        <f t="shared" si="4"/>
        <v>7.257142857142855</v>
      </c>
      <c r="M19" s="349">
        <f t="shared" si="5"/>
        <v>7</v>
      </c>
      <c r="N19" s="349">
        <f t="shared" si="6"/>
        <v>6.1</v>
      </c>
      <c r="O19" s="349">
        <f t="shared" si="7"/>
        <v>8.2</v>
      </c>
    </row>
    <row r="20" spans="1:15" ht="11.25">
      <c r="A20" s="330" t="s">
        <v>129</v>
      </c>
      <c r="B20" s="329">
        <v>2.3</v>
      </c>
      <c r="C20" s="356">
        <v>8.9</v>
      </c>
      <c r="D20" s="356">
        <v>10.5</v>
      </c>
      <c r="E20" s="356">
        <v>10.2</v>
      </c>
      <c r="F20" s="356">
        <v>11</v>
      </c>
      <c r="G20" s="356">
        <v>16.7</v>
      </c>
      <c r="H20" s="356">
        <v>21</v>
      </c>
      <c r="I20" s="356">
        <v>18.1</v>
      </c>
      <c r="J20" s="356">
        <v>17.7</v>
      </c>
      <c r="K20" s="356">
        <v>17.3</v>
      </c>
      <c r="L20" s="350">
        <f>AVERAGE(A20:K20)</f>
        <v>13.37</v>
      </c>
      <c r="M20" s="349">
        <f>COUNT(A20:K20)</f>
        <v>10</v>
      </c>
      <c r="N20" s="349">
        <f>MIN(A20:K20)</f>
        <v>2.3</v>
      </c>
      <c r="O20" s="349">
        <f>MAX(A20:K20)</f>
        <v>21</v>
      </c>
    </row>
    <row r="21" spans="1:15" ht="11.25">
      <c r="A21" s="354" t="s">
        <v>145</v>
      </c>
      <c r="B21" s="355">
        <v>14.31</v>
      </c>
      <c r="C21" s="356">
        <v>13.77</v>
      </c>
      <c r="D21" s="356">
        <v>14.92</v>
      </c>
      <c r="E21" s="356">
        <v>12.18</v>
      </c>
      <c r="F21" s="356">
        <v>11.38</v>
      </c>
      <c r="G21" s="356">
        <v>8.48</v>
      </c>
      <c r="H21" s="356"/>
      <c r="I21" s="356"/>
      <c r="J21" s="356"/>
      <c r="K21" s="356"/>
      <c r="L21" s="350"/>
      <c r="M21" s="349"/>
      <c r="N21" s="349"/>
      <c r="O21" s="349"/>
    </row>
    <row r="22" spans="1:12" ht="11.25">
      <c r="A22" s="357"/>
      <c r="B22" s="357"/>
      <c r="C22" s="358"/>
      <c r="D22" s="358"/>
      <c r="E22" s="358"/>
      <c r="F22" s="358"/>
      <c r="G22" s="358"/>
      <c r="H22" s="358"/>
      <c r="I22" s="358"/>
      <c r="J22" s="358"/>
      <c r="K22" s="358"/>
      <c r="L22" s="44"/>
    </row>
    <row r="23" spans="4:12" ht="11.25">
      <c r="D23" s="15" t="s">
        <v>567</v>
      </c>
      <c r="E23" s="15" t="s">
        <v>589</v>
      </c>
      <c r="F23" s="15" t="s">
        <v>567</v>
      </c>
      <c r="G23" s="15" t="s">
        <v>589</v>
      </c>
      <c r="I23" s="15" t="s">
        <v>567</v>
      </c>
      <c r="J23" s="15" t="s">
        <v>589</v>
      </c>
      <c r="K23" s="15" t="s">
        <v>567</v>
      </c>
      <c r="L23" s="15" t="s">
        <v>589</v>
      </c>
    </row>
    <row r="24" spans="1:11" ht="11.25">
      <c r="A24" s="330" t="s">
        <v>323</v>
      </c>
      <c r="B24" s="359"/>
      <c r="D24" s="360">
        <f>D13/C13</f>
        <v>1.2333333333333334</v>
      </c>
      <c r="F24" s="360">
        <f>F13/E13</f>
        <v>1.1538461538461537</v>
      </c>
      <c r="I24" s="360">
        <f>I13/H13</f>
        <v>0.782608695652174</v>
      </c>
      <c r="K24" s="360">
        <f>K13/J13</f>
        <v>1.13915857605178</v>
      </c>
    </row>
    <row r="25" spans="1:12" ht="11.25">
      <c r="A25" s="354" t="s">
        <v>534</v>
      </c>
      <c r="B25" s="357"/>
      <c r="D25" s="360">
        <f>D14/C14</f>
        <v>0.636</v>
      </c>
      <c r="E25" s="15">
        <v>36</v>
      </c>
      <c r="F25" s="360">
        <f>F14/E14</f>
        <v>0.9378531073446327</v>
      </c>
      <c r="G25" s="15">
        <v>6</v>
      </c>
      <c r="I25" s="360">
        <f>I14/H14</f>
        <v>0.9507575757575756</v>
      </c>
      <c r="J25" s="15">
        <v>5</v>
      </c>
      <c r="K25" s="360">
        <f>K14/J14</f>
        <v>1.0202702702702704</v>
      </c>
      <c r="L25" s="15">
        <v>0</v>
      </c>
    </row>
    <row r="26" spans="1:12" ht="11.25">
      <c r="A26" s="354" t="s">
        <v>535</v>
      </c>
      <c r="B26" s="357"/>
      <c r="D26" s="360">
        <f>D16/C16</f>
        <v>0.6716417910447762</v>
      </c>
      <c r="E26" s="15">
        <v>33</v>
      </c>
      <c r="F26" s="360">
        <f>F16/E16</f>
        <v>0.9107142857142857</v>
      </c>
      <c r="G26" s="15">
        <v>9</v>
      </c>
      <c r="I26" s="360">
        <f>I16/H16</f>
        <v>0.2871287128712871</v>
      </c>
      <c r="J26" s="15">
        <v>71</v>
      </c>
      <c r="K26" s="360">
        <f>K16/J16</f>
        <v>1.0237467018469657</v>
      </c>
      <c r="L26" s="15">
        <v>0</v>
      </c>
    </row>
    <row r="27" spans="1:11" ht="11.25">
      <c r="A27" s="354" t="s">
        <v>537</v>
      </c>
      <c r="B27" s="357"/>
      <c r="D27" s="360">
        <f>D18/C18</f>
        <v>7.571428571428572</v>
      </c>
      <c r="F27" s="360">
        <f>F18/E18</f>
        <v>3.367088607594937</v>
      </c>
      <c r="I27" s="360">
        <f>I18/H18</f>
        <v>0.22983870967741934</v>
      </c>
      <c r="K27" s="360">
        <f>K18/J18</f>
        <v>0.7814569536423841</v>
      </c>
    </row>
    <row r="28" spans="1:11" ht="11.25">
      <c r="A28" s="354" t="s">
        <v>263</v>
      </c>
      <c r="B28" s="357"/>
      <c r="D28" s="360">
        <f>D19/C19</f>
        <v>0.7721518987341771</v>
      </c>
      <c r="F28" s="360">
        <f>F19/E19</f>
        <v>1.0789473684210527</v>
      </c>
      <c r="I28" s="360">
        <f>I19/H19</f>
        <v>1.0136986301369864</v>
      </c>
      <c r="K28" s="360"/>
    </row>
    <row r="30" spans="2:9" ht="11.25">
      <c r="B30" s="465" t="s">
        <v>588</v>
      </c>
      <c r="C30" s="466"/>
      <c r="D30" s="466"/>
      <c r="E30" s="467"/>
      <c r="F30" s="468" t="s">
        <v>568</v>
      </c>
      <c r="G30" s="469"/>
      <c r="H30" s="469"/>
      <c r="I30" s="470"/>
    </row>
    <row r="31" spans="2:9" ht="11.25">
      <c r="B31" s="361" t="s">
        <v>564</v>
      </c>
      <c r="C31" s="361" t="s">
        <v>436</v>
      </c>
      <c r="D31" s="361" t="s">
        <v>435</v>
      </c>
      <c r="E31" s="361" t="s">
        <v>434</v>
      </c>
      <c r="F31" s="362" t="s">
        <v>564</v>
      </c>
      <c r="G31" s="362" t="s">
        <v>436</v>
      </c>
      <c r="H31" s="362" t="s">
        <v>435</v>
      </c>
      <c r="I31" s="362" t="s">
        <v>434</v>
      </c>
    </row>
    <row r="32" spans="1:9" ht="11.25">
      <c r="A32" s="370" t="s">
        <v>323</v>
      </c>
      <c r="B32" s="286">
        <v>633.3333333333334</v>
      </c>
      <c r="C32" s="361">
        <v>6</v>
      </c>
      <c r="D32" s="361">
        <v>107</v>
      </c>
      <c r="E32" s="364">
        <v>1040</v>
      </c>
      <c r="F32" s="365">
        <v>758</v>
      </c>
      <c r="G32" s="362">
        <v>10</v>
      </c>
      <c r="H32" s="362">
        <v>108</v>
      </c>
      <c r="I32" s="366">
        <v>1650</v>
      </c>
    </row>
    <row r="33" spans="1:9" ht="11.25">
      <c r="A33" s="370" t="s">
        <v>569</v>
      </c>
      <c r="B33" s="364">
        <v>2737.3</v>
      </c>
      <c r="C33" s="361">
        <v>10</v>
      </c>
      <c r="D33" s="361">
        <v>596</v>
      </c>
      <c r="E33" s="364">
        <v>8265</v>
      </c>
      <c r="F33" s="367">
        <v>1.8218888888888891</v>
      </c>
      <c r="G33" s="362">
        <v>9</v>
      </c>
      <c r="H33" s="367">
        <v>0.737</v>
      </c>
      <c r="I33" s="362">
        <v>2.64</v>
      </c>
    </row>
    <row r="34" spans="1:9" ht="11.25">
      <c r="A34" s="370" t="s">
        <v>103</v>
      </c>
      <c r="B34" s="286">
        <v>161</v>
      </c>
      <c r="C34" s="361">
        <v>10</v>
      </c>
      <c r="D34" s="361">
        <v>2</v>
      </c>
      <c r="E34" s="361">
        <v>532</v>
      </c>
      <c r="F34" s="365">
        <v>132</v>
      </c>
      <c r="G34" s="362">
        <v>10</v>
      </c>
      <c r="H34" s="362">
        <v>29</v>
      </c>
      <c r="I34" s="362">
        <v>388</v>
      </c>
    </row>
    <row r="35" spans="1:9" ht="11.25">
      <c r="A35" s="370" t="s">
        <v>154</v>
      </c>
      <c r="B35" s="368">
        <v>7.658333333333332</v>
      </c>
      <c r="C35" s="361">
        <v>6</v>
      </c>
      <c r="D35" s="361">
        <v>7.42</v>
      </c>
      <c r="E35" s="361">
        <v>7.92</v>
      </c>
      <c r="F35" s="365">
        <v>7.416666666666667</v>
      </c>
      <c r="G35" s="362">
        <v>6</v>
      </c>
      <c r="H35" s="362">
        <v>6.1</v>
      </c>
      <c r="I35" s="362">
        <v>8.2</v>
      </c>
    </row>
    <row r="36" spans="1:9" ht="22.5">
      <c r="A36" s="370" t="s">
        <v>104</v>
      </c>
      <c r="B36" s="286">
        <v>119.71111111111112</v>
      </c>
      <c r="C36" s="361">
        <v>9</v>
      </c>
      <c r="D36" s="361">
        <v>8.4</v>
      </c>
      <c r="E36" s="361">
        <v>475</v>
      </c>
      <c r="F36" s="365">
        <v>40.766666666666666</v>
      </c>
      <c r="G36" s="362">
        <v>9</v>
      </c>
      <c r="H36" s="362">
        <v>1.4</v>
      </c>
      <c r="I36" s="362">
        <v>151</v>
      </c>
    </row>
    <row r="37" spans="1:9" ht="11.25">
      <c r="A37" s="370" t="s">
        <v>129</v>
      </c>
      <c r="B37" s="368">
        <v>14.466666666666667</v>
      </c>
      <c r="C37" s="361">
        <v>6</v>
      </c>
      <c r="D37" s="361">
        <v>7.2</v>
      </c>
      <c r="E37" s="361">
        <v>21.1</v>
      </c>
      <c r="F37" s="362">
        <v>13</v>
      </c>
      <c r="G37" s="362">
        <v>10</v>
      </c>
      <c r="H37" s="362">
        <v>2.3</v>
      </c>
      <c r="I37" s="362">
        <v>21</v>
      </c>
    </row>
    <row r="39" ht="12" thickBot="1"/>
    <row r="40" spans="1:10" ht="34.5" thickBot="1">
      <c r="A40" s="377" t="s">
        <v>229</v>
      </c>
      <c r="B40" s="378" t="s">
        <v>593</v>
      </c>
      <c r="C40" s="378" t="s">
        <v>594</v>
      </c>
      <c r="D40" s="378" t="s">
        <v>595</v>
      </c>
      <c r="E40" s="15" t="s">
        <v>600</v>
      </c>
      <c r="G40" s="451" t="s">
        <v>229</v>
      </c>
      <c r="H40" s="386" t="s">
        <v>588</v>
      </c>
      <c r="I40" s="386" t="s">
        <v>568</v>
      </c>
      <c r="J40" s="451" t="s">
        <v>604</v>
      </c>
    </row>
    <row r="41" spans="1:10" ht="12" thickBot="1">
      <c r="A41" s="379" t="s">
        <v>596</v>
      </c>
      <c r="B41" s="380">
        <v>16.6</v>
      </c>
      <c r="C41" s="43">
        <f>D41/24</f>
        <v>0.0018603412499999998</v>
      </c>
      <c r="D41" s="383">
        <f>(B41*E41*8.34)/2000</f>
        <v>0.04464819</v>
      </c>
      <c r="E41" s="15">
        <v>0.645</v>
      </c>
      <c r="G41" s="452"/>
      <c r="H41" s="387" t="s">
        <v>593</v>
      </c>
      <c r="I41" s="387" t="s">
        <v>593</v>
      </c>
      <c r="J41" s="452"/>
    </row>
    <row r="42" spans="1:10" ht="23.25" thickBot="1">
      <c r="A42" s="379" t="s">
        <v>597</v>
      </c>
      <c r="B42" s="380">
        <v>32</v>
      </c>
      <c r="C42" s="38">
        <f>D42/24</f>
        <v>0.035862</v>
      </c>
      <c r="D42" s="382">
        <f>(B42*E42*8.34)/2000</f>
        <v>0.860688</v>
      </c>
      <c r="E42" s="15">
        <f>0.645*10</f>
        <v>6.45</v>
      </c>
      <c r="G42" s="379" t="s">
        <v>605</v>
      </c>
      <c r="H42" s="380">
        <v>16.6</v>
      </c>
      <c r="I42" s="388">
        <v>20</v>
      </c>
      <c r="J42" s="389">
        <f>1-I42/H42</f>
        <v>-0.20481927710843362</v>
      </c>
    </row>
    <row r="43" spans="1:10" ht="23.25" thickBot="1">
      <c r="A43" s="379" t="s">
        <v>598</v>
      </c>
      <c r="B43" s="380">
        <v>326</v>
      </c>
      <c r="C43" s="385">
        <f>D43/24</f>
        <v>3.6534412499999998</v>
      </c>
      <c r="D43" s="381">
        <f>(B43*E43*8.34)/2000</f>
        <v>87.68258999999999</v>
      </c>
      <c r="E43" s="15">
        <v>64.5</v>
      </c>
      <c r="G43" s="379" t="s">
        <v>597</v>
      </c>
      <c r="H43" s="380">
        <v>32</v>
      </c>
      <c r="I43" s="388">
        <v>41</v>
      </c>
      <c r="J43" s="389">
        <f>1-I43/H43</f>
        <v>-0.28125</v>
      </c>
    </row>
    <row r="44" spans="1:10" ht="23.25" thickBot="1">
      <c r="A44" s="379" t="s">
        <v>599</v>
      </c>
      <c r="B44" s="380">
        <v>475</v>
      </c>
      <c r="C44" s="385">
        <f>D44/24</f>
        <v>186.314296875</v>
      </c>
      <c r="D44" s="384">
        <f>(B44*E44*8.34)/2000</f>
        <v>4471.543125</v>
      </c>
      <c r="E44" s="15">
        <f>3500*0.645</f>
        <v>2257.5</v>
      </c>
      <c r="G44" s="379" t="s">
        <v>598</v>
      </c>
      <c r="H44" s="380">
        <v>326</v>
      </c>
      <c r="I44" s="388">
        <v>118</v>
      </c>
      <c r="J44" s="389">
        <f>1-I44/H44</f>
        <v>0.6380368098159509</v>
      </c>
    </row>
    <row r="45" spans="7:10" ht="23.25" thickBot="1">
      <c r="G45" s="379" t="s">
        <v>599</v>
      </c>
      <c r="H45" s="380">
        <v>475</v>
      </c>
      <c r="I45" s="388">
        <v>150</v>
      </c>
      <c r="J45" s="389">
        <f>1-I45/H45</f>
        <v>0.6842105263157895</v>
      </c>
    </row>
    <row r="46" spans="1:5" ht="12" thickBot="1">
      <c r="A46" s="15" t="s">
        <v>229</v>
      </c>
      <c r="B46" s="15" t="s">
        <v>601</v>
      </c>
      <c r="C46" s="15" t="s">
        <v>602</v>
      </c>
      <c r="D46" s="15" t="s">
        <v>603</v>
      </c>
      <c r="E46" s="15" t="s">
        <v>600</v>
      </c>
    </row>
    <row r="47" spans="1:10" ht="34.5" thickBot="1">
      <c r="A47" s="15" t="s">
        <v>596</v>
      </c>
      <c r="B47" s="15">
        <v>0.161</v>
      </c>
      <c r="C47" s="43">
        <f>D47/24</f>
        <v>0.036086137500000004</v>
      </c>
      <c r="D47" s="383">
        <f>(B47*E47*8.34)</f>
        <v>0.8660673000000001</v>
      </c>
      <c r="E47" s="15">
        <v>0.645</v>
      </c>
      <c r="G47" s="451" t="s">
        <v>229</v>
      </c>
      <c r="H47" s="386" t="s">
        <v>588</v>
      </c>
      <c r="I47" s="386" t="s">
        <v>568</v>
      </c>
      <c r="J47" s="451" t="s">
        <v>604</v>
      </c>
    </row>
    <row r="48" spans="1:10" ht="34.5" thickBot="1">
      <c r="A48" s="15" t="s">
        <v>597</v>
      </c>
      <c r="B48" s="15">
        <v>0.22</v>
      </c>
      <c r="C48" s="43">
        <f>D48/24</f>
        <v>0.4931025</v>
      </c>
      <c r="D48" s="383">
        <f>(B48*E48*8.34)</f>
        <v>11.83446</v>
      </c>
      <c r="E48" s="15">
        <v>6.45</v>
      </c>
      <c r="G48" s="452"/>
      <c r="H48" s="387" t="s">
        <v>606</v>
      </c>
      <c r="I48" s="387" t="s">
        <v>606</v>
      </c>
      <c r="J48" s="452"/>
    </row>
    <row r="49" spans="1:10" ht="23.25" thickBot="1">
      <c r="A49" s="15" t="s">
        <v>598</v>
      </c>
      <c r="B49" s="15">
        <v>0.32</v>
      </c>
      <c r="C49" s="43">
        <f>D49/24</f>
        <v>7.1724</v>
      </c>
      <c r="D49" s="383">
        <f>(B49*E49*8.34)</f>
        <v>172.1376</v>
      </c>
      <c r="E49" s="15">
        <v>64.5</v>
      </c>
      <c r="G49" s="379" t="s">
        <v>605</v>
      </c>
      <c r="H49" s="15">
        <v>0.161</v>
      </c>
      <c r="I49" s="388">
        <v>0.072</v>
      </c>
      <c r="J49" s="389">
        <f>1-I49/H49</f>
        <v>0.5527950310559007</v>
      </c>
    </row>
    <row r="50" spans="1:10" ht="23.25" thickBot="1">
      <c r="A50" s="15" t="s">
        <v>599</v>
      </c>
      <c r="B50" s="15">
        <v>0.532</v>
      </c>
      <c r="C50" s="43">
        <f>D50/24</f>
        <v>417.34402500000004</v>
      </c>
      <c r="D50" s="383">
        <f>(B50*E50*8.34)</f>
        <v>10016.2566</v>
      </c>
      <c r="E50" s="15">
        <v>2257.5</v>
      </c>
      <c r="G50" s="379" t="s">
        <v>597</v>
      </c>
      <c r="H50" s="15">
        <v>0.22</v>
      </c>
      <c r="I50" s="388">
        <v>0.132</v>
      </c>
      <c r="J50" s="389">
        <f>1-I50/H50</f>
        <v>0.4</v>
      </c>
    </row>
    <row r="51" spans="7:10" ht="23.25" thickBot="1">
      <c r="G51" s="379" t="s">
        <v>598</v>
      </c>
      <c r="H51" s="15">
        <v>0.32</v>
      </c>
      <c r="I51" s="388">
        <v>0.388</v>
      </c>
      <c r="J51" s="389">
        <f>1-I51/H51</f>
        <v>-0.2124999999999999</v>
      </c>
    </row>
    <row r="52" spans="7:10" ht="23.25" thickBot="1">
      <c r="G52" s="379" t="s">
        <v>599</v>
      </c>
      <c r="H52" s="15">
        <v>0.532</v>
      </c>
      <c r="I52" s="388">
        <v>0.5</v>
      </c>
      <c r="J52" s="389">
        <f>1-I52/H52</f>
        <v>0.06015037593984962</v>
      </c>
    </row>
    <row r="53" ht="12" thickBot="1"/>
    <row r="54" spans="1:4" ht="34.5" thickBot="1">
      <c r="A54" s="390" t="s">
        <v>229</v>
      </c>
      <c r="B54" s="391" t="s">
        <v>607</v>
      </c>
      <c r="C54" s="391" t="s">
        <v>608</v>
      </c>
      <c r="D54" s="391" t="s">
        <v>609</v>
      </c>
    </row>
    <row r="55" spans="1:5" ht="12" thickBot="1">
      <c r="A55" s="392" t="s">
        <v>605</v>
      </c>
      <c r="B55" s="393">
        <v>0.75</v>
      </c>
      <c r="C55" s="36">
        <f>D55/24</f>
        <v>0.16810312500000002</v>
      </c>
      <c r="D55" s="381">
        <f>(B55*E55*8.34)</f>
        <v>4.0344750000000005</v>
      </c>
      <c r="E55" s="15">
        <v>0.645</v>
      </c>
    </row>
    <row r="56" spans="1:5" ht="12" thickBot="1">
      <c r="A56" s="392" t="s">
        <v>597</v>
      </c>
      <c r="B56" s="393">
        <v>1.8</v>
      </c>
      <c r="C56" s="294">
        <f>D56/24</f>
        <v>4.0344750000000005</v>
      </c>
      <c r="D56" s="384">
        <f>(B56*E56*8.34)</f>
        <v>96.82740000000001</v>
      </c>
      <c r="E56" s="15">
        <v>6.45</v>
      </c>
    </row>
    <row r="57" spans="1:5" ht="12" thickBot="1">
      <c r="A57" s="392" t="s">
        <v>598</v>
      </c>
      <c r="B57" s="393">
        <v>5.9</v>
      </c>
      <c r="C57" s="294">
        <f>D57/24</f>
        <v>132.241125</v>
      </c>
      <c r="D57" s="384">
        <f>(B57*E57*8.34)</f>
        <v>3173.7870000000003</v>
      </c>
      <c r="E57" s="15">
        <v>64.5</v>
      </c>
    </row>
    <row r="58" spans="1:5" ht="12" thickBot="1">
      <c r="A58" s="392" t="s">
        <v>599</v>
      </c>
      <c r="B58" s="393">
        <v>8.3</v>
      </c>
      <c r="C58" s="294">
        <f>D58/24</f>
        <v>6511.194375</v>
      </c>
      <c r="D58" s="384">
        <f>(B58*E58*8.34)</f>
        <v>156268.665</v>
      </c>
      <c r="E58" s="15">
        <v>2257.5</v>
      </c>
    </row>
    <row r="59" ht="12" thickBot="1"/>
    <row r="60" spans="1:4" ht="33.75">
      <c r="A60" s="463" t="s">
        <v>229</v>
      </c>
      <c r="B60" s="394" t="s">
        <v>588</v>
      </c>
      <c r="C60" s="394" t="s">
        <v>568</v>
      </c>
      <c r="D60" s="463" t="s">
        <v>604</v>
      </c>
    </row>
    <row r="61" spans="1:4" ht="34.5" thickBot="1">
      <c r="A61" s="464"/>
      <c r="B61" s="395" t="s">
        <v>607</v>
      </c>
      <c r="C61" s="395" t="s">
        <v>607</v>
      </c>
      <c r="D61" s="464"/>
    </row>
    <row r="62" spans="1:4" ht="12" thickBot="1">
      <c r="A62" s="392" t="s">
        <v>605</v>
      </c>
      <c r="B62" s="393">
        <v>0.75</v>
      </c>
      <c r="C62" s="393">
        <v>1.6</v>
      </c>
      <c r="D62" s="396">
        <f>1-C62/B62</f>
        <v>-1.1333333333333333</v>
      </c>
    </row>
    <row r="63" spans="1:4" ht="12" thickBot="1">
      <c r="A63" s="392" t="s">
        <v>597</v>
      </c>
      <c r="B63" s="393">
        <v>1.8</v>
      </c>
      <c r="C63" s="393">
        <v>2</v>
      </c>
      <c r="D63" s="396">
        <f>1-C63/B63</f>
        <v>-0.11111111111111116</v>
      </c>
    </row>
    <row r="64" spans="1:4" ht="12" thickBot="1">
      <c r="A64" s="392" t="s">
        <v>598</v>
      </c>
      <c r="B64" s="393">
        <v>5.9</v>
      </c>
      <c r="C64" s="393">
        <v>1.5</v>
      </c>
      <c r="D64" s="396">
        <f>1-C64/B64</f>
        <v>0.7457627118644068</v>
      </c>
    </row>
    <row r="65" spans="1:4" ht="12" thickBot="1">
      <c r="A65" s="392" t="s">
        <v>599</v>
      </c>
      <c r="B65" s="393">
        <v>8.3</v>
      </c>
      <c r="C65" s="393">
        <v>5</v>
      </c>
      <c r="D65" s="396">
        <f>1-C65/B65</f>
        <v>0.3975903614457832</v>
      </c>
    </row>
  </sheetData>
  <mergeCells count="18">
    <mergeCell ref="L11:O11"/>
    <mergeCell ref="B10:G10"/>
    <mergeCell ref="H10:I10"/>
    <mergeCell ref="A60:A61"/>
    <mergeCell ref="D60:D61"/>
    <mergeCell ref="B30:E30"/>
    <mergeCell ref="F30:I30"/>
    <mergeCell ref="G40:G41"/>
    <mergeCell ref="J40:J41"/>
    <mergeCell ref="G47:G48"/>
    <mergeCell ref="J47:J48"/>
    <mergeCell ref="A1:L1"/>
    <mergeCell ref="C11:D11"/>
    <mergeCell ref="E11:F11"/>
    <mergeCell ref="H11:I11"/>
    <mergeCell ref="J11:K11"/>
    <mergeCell ref="C3:E3"/>
    <mergeCell ref="L2:O2"/>
  </mergeCells>
  <printOptions/>
  <pageMargins left="0.25" right="0.25" top="0.75" bottom="0.75" header="0.5" footer="0.5"/>
  <pageSetup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E8" sqref="E8"/>
    </sheetView>
  </sheetViews>
  <sheetFormatPr defaultColWidth="9.140625" defaultRowHeight="12.75"/>
  <cols>
    <col min="1" max="1" width="9.28125" style="0" customWidth="1"/>
    <col min="2" max="2" width="6.140625" style="0" bestFit="1" customWidth="1"/>
    <col min="3" max="3" width="9.421875" style="0" bestFit="1" customWidth="1"/>
    <col min="4" max="4" width="4.421875" style="0" bestFit="1" customWidth="1"/>
    <col min="5" max="5" width="7.7109375" style="0" bestFit="1" customWidth="1"/>
    <col min="6" max="6" width="9.28125" style="0" bestFit="1" customWidth="1"/>
    <col min="7" max="7" width="8.421875" style="0" customWidth="1"/>
    <col min="8" max="8" width="8.28125" style="0" customWidth="1"/>
    <col min="9" max="9" width="7.421875" style="0" customWidth="1"/>
    <col min="10" max="10" width="7.7109375" style="0" bestFit="1" customWidth="1"/>
    <col min="11" max="11" width="7.421875" style="0" customWidth="1"/>
    <col min="12" max="12" width="8.28125" style="0" customWidth="1"/>
  </cols>
  <sheetData>
    <row r="1" spans="1:12" ht="12.75">
      <c r="A1" s="471" t="s">
        <v>618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</row>
    <row r="2" spans="1:12" ht="12.75">
      <c r="A2" s="14"/>
      <c r="B2" s="472">
        <v>38653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</row>
    <row r="3" spans="1:12" ht="33.75">
      <c r="A3" s="473"/>
      <c r="B3" s="474" t="s">
        <v>620</v>
      </c>
      <c r="C3" s="474" t="s">
        <v>65</v>
      </c>
      <c r="D3" s="474" t="s">
        <v>263</v>
      </c>
      <c r="E3" s="474" t="s">
        <v>612</v>
      </c>
      <c r="F3" s="474" t="s">
        <v>610</v>
      </c>
      <c r="G3" s="474" t="s">
        <v>619</v>
      </c>
      <c r="H3" s="474" t="s">
        <v>617</v>
      </c>
      <c r="I3" s="474" t="s">
        <v>616</v>
      </c>
      <c r="J3" s="474" t="s">
        <v>611</v>
      </c>
      <c r="K3" s="474" t="s">
        <v>614</v>
      </c>
      <c r="L3" s="474" t="s">
        <v>615</v>
      </c>
    </row>
    <row r="4" spans="1:12" ht="12.75">
      <c r="A4" s="473" t="s">
        <v>549</v>
      </c>
      <c r="B4" s="475">
        <v>5.6</v>
      </c>
      <c r="C4" s="475">
        <v>159</v>
      </c>
      <c r="D4" s="475">
        <v>7.41</v>
      </c>
      <c r="E4" s="475">
        <v>11.98</v>
      </c>
      <c r="F4" s="475">
        <v>33</v>
      </c>
      <c r="G4" s="475">
        <v>319</v>
      </c>
      <c r="H4" s="475">
        <v>0</v>
      </c>
      <c r="I4" s="475">
        <v>0</v>
      </c>
      <c r="J4" s="475">
        <v>0</v>
      </c>
      <c r="K4" s="475">
        <v>150</v>
      </c>
      <c r="L4" s="475">
        <v>1.1</v>
      </c>
    </row>
    <row r="5" spans="1:12" ht="12.75">
      <c r="A5" s="473" t="s">
        <v>550</v>
      </c>
      <c r="B5" s="475">
        <v>7.4</v>
      </c>
      <c r="C5" s="475">
        <v>255</v>
      </c>
      <c r="D5" s="475">
        <v>8.07</v>
      </c>
      <c r="E5" s="475">
        <v>12.31</v>
      </c>
      <c r="F5" s="475">
        <v>26</v>
      </c>
      <c r="G5" s="475">
        <v>75</v>
      </c>
      <c r="H5" s="475">
        <v>0.8</v>
      </c>
      <c r="I5" s="475">
        <v>20</v>
      </c>
      <c r="J5" s="475">
        <v>0.5</v>
      </c>
      <c r="K5" s="475">
        <v>190</v>
      </c>
      <c r="L5" s="475">
        <v>8.5</v>
      </c>
    </row>
    <row r="6" spans="1:12" ht="12.75">
      <c r="A6" s="473" t="s">
        <v>551</v>
      </c>
      <c r="B6" s="475">
        <v>7.4</v>
      </c>
      <c r="C6" s="475">
        <v>186</v>
      </c>
      <c r="D6" s="475">
        <v>7.64</v>
      </c>
      <c r="E6" s="475">
        <v>8.52</v>
      </c>
      <c r="F6" s="475">
        <v>77</v>
      </c>
      <c r="G6" s="475">
        <v>25</v>
      </c>
      <c r="H6" s="475">
        <v>0</v>
      </c>
      <c r="I6" s="475">
        <v>20</v>
      </c>
      <c r="J6" s="475">
        <v>0.2</v>
      </c>
      <c r="K6" s="475">
        <v>420</v>
      </c>
      <c r="L6" s="475">
        <v>2.7</v>
      </c>
    </row>
    <row r="7" spans="1:12" ht="22.5">
      <c r="A7" s="476" t="s">
        <v>552</v>
      </c>
      <c r="B7" s="475">
        <v>7.8</v>
      </c>
      <c r="C7" s="475">
        <v>281</v>
      </c>
      <c r="D7" s="475"/>
      <c r="E7" s="475">
        <v>12.11</v>
      </c>
      <c r="F7" s="475">
        <v>19</v>
      </c>
      <c r="G7" s="475">
        <v>55</v>
      </c>
      <c r="H7" s="475">
        <v>0.7</v>
      </c>
      <c r="I7" s="475">
        <v>0</v>
      </c>
      <c r="J7" s="475">
        <v>0</v>
      </c>
      <c r="K7" s="475">
        <v>150</v>
      </c>
      <c r="L7" s="475">
        <v>2.3</v>
      </c>
    </row>
    <row r="12" ht="12.75">
      <c r="I12" s="14"/>
    </row>
  </sheetData>
  <mergeCells count="2">
    <mergeCell ref="B2:L2"/>
    <mergeCell ref="A1:L1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12">
      <selection activeCell="E19" sqref="E19"/>
    </sheetView>
  </sheetViews>
  <sheetFormatPr defaultColWidth="9.140625" defaultRowHeight="12.75"/>
  <cols>
    <col min="1" max="1" width="16.421875" style="0" customWidth="1"/>
    <col min="2" max="2" width="18.421875" style="0" bestFit="1" customWidth="1"/>
    <col min="3" max="3" width="23.00390625" style="0" bestFit="1" customWidth="1"/>
    <col min="4" max="4" width="13.57421875" style="0" customWidth="1"/>
    <col min="5" max="5" width="11.7109375" style="0" bestFit="1" customWidth="1"/>
    <col min="7" max="7" width="18.7109375" style="0" customWidth="1"/>
  </cols>
  <sheetData>
    <row r="1" spans="1:3" ht="12.75">
      <c r="A1" t="s">
        <v>348</v>
      </c>
      <c r="B1" s="158" t="s">
        <v>353</v>
      </c>
      <c r="C1">
        <v>21</v>
      </c>
    </row>
    <row r="2" spans="1:11" ht="12.75">
      <c r="A2" t="s">
        <v>351</v>
      </c>
      <c r="B2" s="158" t="s">
        <v>353</v>
      </c>
      <c r="C2">
        <v>8</v>
      </c>
      <c r="K2" s="195"/>
    </row>
    <row r="3" spans="1:13" ht="12.75">
      <c r="A3" t="s">
        <v>352</v>
      </c>
      <c r="B3" s="158" t="s">
        <v>282</v>
      </c>
      <c r="C3">
        <v>2.4</v>
      </c>
      <c r="K3" s="398"/>
      <c r="L3" s="398"/>
      <c r="M3" s="398"/>
    </row>
    <row r="5" ht="12.75">
      <c r="A5" t="s">
        <v>355</v>
      </c>
    </row>
    <row r="6" spans="1:2" ht="12.75">
      <c r="A6" t="s">
        <v>356</v>
      </c>
      <c r="B6">
        <f>+LN(C3)</f>
        <v>0.8754687373538999</v>
      </c>
    </row>
    <row r="7" spans="2:3" ht="12.75">
      <c r="B7">
        <f>20+(14.42*B6)</f>
        <v>32.62425919264324</v>
      </c>
      <c r="C7" t="s">
        <v>359</v>
      </c>
    </row>
    <row r="8" spans="1:2" ht="12.75">
      <c r="A8" t="s">
        <v>357</v>
      </c>
      <c r="B8">
        <f>+LN(C2)</f>
        <v>2.0794415416798357</v>
      </c>
    </row>
    <row r="9" spans="2:3" ht="12.75">
      <c r="B9">
        <f>+(9.81*B8)+30.6</f>
        <v>50.99932152387919</v>
      </c>
      <c r="C9" t="s">
        <v>359</v>
      </c>
    </row>
    <row r="10" spans="1:2" ht="12.75">
      <c r="A10" t="s">
        <v>358</v>
      </c>
      <c r="B10">
        <f>+LN(C1)</f>
        <v>3.044522437723423</v>
      </c>
    </row>
    <row r="11" spans="2:3" ht="12.75">
      <c r="B11">
        <f>+(14.42*B10)+4.15</f>
        <v>48.05201355197176</v>
      </c>
      <c r="C11" t="s">
        <v>359</v>
      </c>
    </row>
    <row r="13" ht="12.75">
      <c r="A13" t="s">
        <v>360</v>
      </c>
    </row>
    <row r="14" spans="1:2" ht="12.75">
      <c r="A14" t="s">
        <v>361</v>
      </c>
      <c r="B14">
        <f>+LN(C2)</f>
        <v>2.0794415416798357</v>
      </c>
    </row>
    <row r="15" spans="2:3" ht="12.75">
      <c r="B15">
        <f>20+(14.42*B14)</f>
        <v>49.98554703102323</v>
      </c>
      <c r="C15" t="s">
        <v>359</v>
      </c>
    </row>
    <row r="16" spans="1:2" ht="12.75">
      <c r="A16" t="s">
        <v>362</v>
      </c>
      <c r="B16">
        <f>+LN(C1)</f>
        <v>3.044522437723423</v>
      </c>
    </row>
    <row r="17" spans="2:3" ht="12.75">
      <c r="B17">
        <f>20.02*B16</f>
        <v>60.95133920322293</v>
      </c>
      <c r="C17" t="s">
        <v>364</v>
      </c>
    </row>
    <row r="18" spans="1:2" ht="12.75">
      <c r="A18" t="s">
        <v>363</v>
      </c>
      <c r="B18">
        <f>+LN(1/C3-0.08)</f>
        <v>-1.0886619578149417</v>
      </c>
    </row>
    <row r="19" spans="2:3" ht="12.75">
      <c r="B19">
        <f>75.34+(19.46*B18)</f>
        <v>54.154638300921235</v>
      </c>
      <c r="C19" t="s">
        <v>364</v>
      </c>
    </row>
    <row r="22" spans="1:7" ht="12.75">
      <c r="A22" t="s">
        <v>439</v>
      </c>
      <c r="B22" t="s">
        <v>417</v>
      </c>
      <c r="C22" s="399" t="s">
        <v>422</v>
      </c>
      <c r="D22" s="399"/>
      <c r="E22" s="399"/>
      <c r="F22" s="399"/>
      <c r="G22" t="s">
        <v>423</v>
      </c>
    </row>
    <row r="23" spans="2:7" ht="12.75">
      <c r="B23" t="s">
        <v>418</v>
      </c>
      <c r="C23" t="s">
        <v>419</v>
      </c>
      <c r="D23" t="s">
        <v>420</v>
      </c>
      <c r="E23" t="s">
        <v>421</v>
      </c>
      <c r="G23" s="196">
        <v>18880</v>
      </c>
    </row>
    <row r="24" spans="2:7" ht="12.75">
      <c r="B24">
        <v>25000</v>
      </c>
      <c r="C24">
        <v>5650</v>
      </c>
      <c r="D24" s="196">
        <f aca="true" t="shared" si="0" ref="D24:D32">C24+G$23</f>
        <v>24530</v>
      </c>
      <c r="E24">
        <v>1815</v>
      </c>
      <c r="G24" s="196"/>
    </row>
    <row r="25" spans="2:7" ht="12.75">
      <c r="B25">
        <v>50000</v>
      </c>
      <c r="C25" s="196">
        <v>11300</v>
      </c>
      <c r="D25" s="196">
        <f t="shared" si="0"/>
        <v>30180</v>
      </c>
      <c r="E25">
        <f aca="true" t="shared" si="1" ref="E25:E32">C25-G$29</f>
        <v>3630</v>
      </c>
      <c r="G25" s="196"/>
    </row>
    <row r="26" spans="2:7" ht="12.75">
      <c r="B26">
        <v>100000</v>
      </c>
      <c r="C26">
        <v>22600</v>
      </c>
      <c r="D26" s="196">
        <f t="shared" si="0"/>
        <v>41480</v>
      </c>
      <c r="E26">
        <f t="shared" si="1"/>
        <v>14930</v>
      </c>
      <c r="G26" s="196"/>
    </row>
    <row r="27" spans="2:5" ht="12.75">
      <c r="B27">
        <v>200000</v>
      </c>
      <c r="C27">
        <v>45210</v>
      </c>
      <c r="D27" s="196">
        <f t="shared" si="0"/>
        <v>64090</v>
      </c>
      <c r="E27">
        <f t="shared" si="1"/>
        <v>37540</v>
      </c>
    </row>
    <row r="28" spans="2:7" ht="12.75">
      <c r="B28">
        <v>261000</v>
      </c>
      <c r="C28">
        <v>59000</v>
      </c>
      <c r="D28" s="196">
        <f t="shared" si="0"/>
        <v>77880</v>
      </c>
      <c r="E28">
        <f t="shared" si="1"/>
        <v>51330</v>
      </c>
      <c r="G28" t="s">
        <v>424</v>
      </c>
    </row>
    <row r="29" spans="2:7" ht="12.75">
      <c r="B29">
        <v>275000</v>
      </c>
      <c r="C29">
        <v>62160</v>
      </c>
      <c r="D29" s="196">
        <f t="shared" si="0"/>
        <v>81040</v>
      </c>
      <c r="E29">
        <f t="shared" si="1"/>
        <v>54490</v>
      </c>
      <c r="G29">
        <v>7670</v>
      </c>
    </row>
    <row r="30" spans="2:5" ht="12.75">
      <c r="B30">
        <v>300000</v>
      </c>
      <c r="C30">
        <v>67820</v>
      </c>
      <c r="D30" s="196">
        <f t="shared" si="0"/>
        <v>86700</v>
      </c>
      <c r="E30">
        <f t="shared" si="1"/>
        <v>60150</v>
      </c>
    </row>
    <row r="31" spans="2:5" ht="12.75">
      <c r="B31">
        <v>350000</v>
      </c>
      <c r="C31">
        <v>79120</v>
      </c>
      <c r="D31" s="196">
        <f t="shared" si="0"/>
        <v>98000</v>
      </c>
      <c r="E31">
        <f t="shared" si="1"/>
        <v>71450</v>
      </c>
    </row>
    <row r="32" spans="2:5" ht="12.75">
      <c r="B32">
        <v>400000</v>
      </c>
      <c r="C32">
        <v>90425</v>
      </c>
      <c r="D32" s="196">
        <f t="shared" si="0"/>
        <v>109305</v>
      </c>
      <c r="E32">
        <f t="shared" si="1"/>
        <v>82755</v>
      </c>
    </row>
    <row r="57" spans="1:3" ht="25.5">
      <c r="A57" s="5" t="s">
        <v>438</v>
      </c>
      <c r="B57" s="203" t="s">
        <v>456</v>
      </c>
      <c r="C57" s="71" t="s">
        <v>437</v>
      </c>
    </row>
    <row r="58" spans="1:3" ht="12.75">
      <c r="A58" s="5"/>
      <c r="B58" s="71"/>
      <c r="C58" s="71"/>
    </row>
    <row r="59" spans="1:3" ht="12.75">
      <c r="A59" s="5" t="s">
        <v>557</v>
      </c>
      <c r="B59" s="296">
        <v>261000</v>
      </c>
      <c r="C59" s="296">
        <v>58824</v>
      </c>
    </row>
    <row r="60" spans="1:3" ht="12.75">
      <c r="A60" s="17">
        <v>1986</v>
      </c>
      <c r="B60" s="126">
        <v>272000</v>
      </c>
      <c r="C60" s="126">
        <v>19997.712</v>
      </c>
    </row>
    <row r="61" spans="1:3" ht="12.75">
      <c r="A61" s="17">
        <v>1987</v>
      </c>
      <c r="B61" s="126">
        <v>295890</v>
      </c>
      <c r="C61" s="126">
        <v>62039.552189999995</v>
      </c>
    </row>
    <row r="62" spans="1:3" ht="12.75">
      <c r="A62" s="17">
        <v>1988</v>
      </c>
      <c r="B62" s="126">
        <v>303850</v>
      </c>
      <c r="C62" s="126">
        <v>19029.821649999998</v>
      </c>
    </row>
    <row r="63" spans="1:3" ht="12.75">
      <c r="A63" s="17">
        <v>1989</v>
      </c>
      <c r="B63" s="126">
        <v>294160</v>
      </c>
      <c r="C63" s="126">
        <v>9611.97216</v>
      </c>
    </row>
    <row r="64" spans="1:3" ht="12.75">
      <c r="A64" s="17">
        <v>1990</v>
      </c>
      <c r="B64" s="126">
        <v>283350</v>
      </c>
      <c r="C64" s="126">
        <v>11573.43075</v>
      </c>
    </row>
    <row r="65" spans="1:3" ht="12.75">
      <c r="A65" s="17">
        <v>1991</v>
      </c>
      <c r="B65" s="126">
        <v>300170</v>
      </c>
      <c r="C65" s="126">
        <v>7638.4</v>
      </c>
    </row>
    <row r="66" spans="1:3" ht="12.75">
      <c r="A66" s="17">
        <v>1992</v>
      </c>
      <c r="B66" s="126">
        <v>288460</v>
      </c>
      <c r="C66" s="126">
        <v>8042.72</v>
      </c>
    </row>
    <row r="67" spans="1:3" ht="12.75">
      <c r="A67" s="17">
        <v>1993</v>
      </c>
      <c r="B67" s="126">
        <v>274470</v>
      </c>
      <c r="C67" s="126">
        <v>6181.12</v>
      </c>
    </row>
    <row r="68" spans="1:3" ht="12.75">
      <c r="A68" s="17">
        <v>1994</v>
      </c>
      <c r="B68" s="126">
        <v>289850</v>
      </c>
      <c r="C68" s="126">
        <v>13763.2</v>
      </c>
    </row>
    <row r="69" spans="1:3" ht="12.75">
      <c r="A69" s="17">
        <v>1995</v>
      </c>
      <c r="B69" s="126">
        <v>307530</v>
      </c>
      <c r="C69" s="126">
        <v>48032</v>
      </c>
    </row>
    <row r="70" spans="1:3" ht="12.75">
      <c r="A70" s="17">
        <v>1996</v>
      </c>
      <c r="B70" s="126">
        <v>270659</v>
      </c>
      <c r="C70" s="126">
        <v>21799.33</v>
      </c>
    </row>
    <row r="71" spans="1:3" ht="12.75">
      <c r="A71" s="17">
        <v>1997</v>
      </c>
      <c r="B71" s="126">
        <v>280000</v>
      </c>
      <c r="C71" s="126">
        <v>22150</v>
      </c>
    </row>
    <row r="72" spans="1:3" ht="12.75">
      <c r="A72" s="197">
        <v>1998</v>
      </c>
      <c r="B72" s="198">
        <v>199463</v>
      </c>
      <c r="C72" s="199">
        <v>52167</v>
      </c>
    </row>
    <row r="73" spans="1:3" ht="12.75">
      <c r="A73" s="197">
        <v>1999</v>
      </c>
      <c r="B73" s="198">
        <v>190872</v>
      </c>
      <c r="C73" s="199">
        <v>41459</v>
      </c>
    </row>
    <row r="74" spans="1:3" ht="12.75">
      <c r="A74" s="17">
        <v>2000</v>
      </c>
      <c r="B74" s="126">
        <v>98268</v>
      </c>
      <c r="C74" s="199">
        <v>9380</v>
      </c>
    </row>
    <row r="75" spans="1:3" ht="12.75">
      <c r="A75" s="17">
        <v>2001</v>
      </c>
      <c r="B75" s="126">
        <v>66692</v>
      </c>
      <c r="C75" s="199">
        <v>6172</v>
      </c>
    </row>
    <row r="76" spans="1:3" ht="12.75">
      <c r="A76" s="200">
        <v>2002</v>
      </c>
      <c r="B76" s="201">
        <v>29565</v>
      </c>
      <c r="C76" s="201">
        <v>2123</v>
      </c>
    </row>
    <row r="77" spans="1:3" ht="12.75">
      <c r="A77" s="200">
        <v>2003</v>
      </c>
      <c r="B77" s="201">
        <v>48806.567670000004</v>
      </c>
      <c r="C77" s="202">
        <v>8391.18497749485</v>
      </c>
    </row>
    <row r="78" spans="1:3" ht="12.75">
      <c r="A78" s="200">
        <v>2004</v>
      </c>
      <c r="B78" s="201">
        <v>46768</v>
      </c>
      <c r="C78" s="202">
        <v>7800</v>
      </c>
    </row>
    <row r="79" spans="1:3" ht="12.75">
      <c r="A79" s="200">
        <v>2005</v>
      </c>
      <c r="B79" s="201">
        <v>125848</v>
      </c>
      <c r="C79" s="202">
        <v>23350</v>
      </c>
    </row>
    <row r="80" spans="2:3" ht="12.75">
      <c r="B80" s="196">
        <f>AVERAGE(B60:B79)</f>
        <v>213333.5783835</v>
      </c>
      <c r="C80" s="196">
        <f>AVERAGE(C60:C79)</f>
        <v>20035.07218637474</v>
      </c>
    </row>
  </sheetData>
  <mergeCells count="2">
    <mergeCell ref="K3:M3"/>
    <mergeCell ref="C22:F22"/>
  </mergeCells>
  <printOptions/>
  <pageMargins left="0.75" right="0.75" top="1" bottom="1" header="0.5" footer="0.5"/>
  <pageSetup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D1">
      <selection activeCell="N13" sqref="N13"/>
    </sheetView>
  </sheetViews>
  <sheetFormatPr defaultColWidth="9.140625" defaultRowHeight="12.75"/>
  <cols>
    <col min="2" max="2" width="6.8515625" style="0" customWidth="1"/>
    <col min="4" max="4" width="13.00390625" style="0" customWidth="1"/>
    <col min="12" max="12" width="7.57421875" style="0" bestFit="1" customWidth="1"/>
  </cols>
  <sheetData>
    <row r="1" spans="1:21" ht="15.75">
      <c r="A1" s="427" t="s">
        <v>502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2.75">
      <c r="A2" s="158"/>
      <c r="B2" s="160"/>
      <c r="D2" s="64"/>
      <c r="E2" s="64"/>
      <c r="F2" s="64"/>
      <c r="G2" s="64"/>
      <c r="H2" s="64"/>
      <c r="I2" s="64"/>
      <c r="J2" s="64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2.75">
      <c r="A3" s="158"/>
      <c r="B3" s="160"/>
      <c r="D3" s="179"/>
      <c r="E3" s="179"/>
      <c r="F3" s="179"/>
      <c r="G3" s="179"/>
      <c r="H3" s="179"/>
      <c r="I3" s="179"/>
      <c r="J3" s="179"/>
      <c r="K3" s="5"/>
      <c r="L3" s="5"/>
      <c r="M3" s="400"/>
      <c r="N3" s="400"/>
      <c r="O3" s="400"/>
      <c r="P3" s="400"/>
      <c r="Q3" s="400"/>
      <c r="R3" s="400"/>
      <c r="S3" s="400"/>
      <c r="T3" s="5"/>
      <c r="U3" s="5"/>
    </row>
    <row r="4" spans="1:21" ht="36">
      <c r="A4" s="158"/>
      <c r="B4" s="160"/>
      <c r="D4" s="179"/>
      <c r="E4" s="227" t="s">
        <v>497</v>
      </c>
      <c r="F4" s="227" t="s">
        <v>498</v>
      </c>
      <c r="G4" s="227" t="s">
        <v>499</v>
      </c>
      <c r="H4" s="227" t="s">
        <v>500</v>
      </c>
      <c r="I4" s="227" t="s">
        <v>348</v>
      </c>
      <c r="J4" s="227" t="s">
        <v>501</v>
      </c>
      <c r="K4" s="227" t="s">
        <v>496</v>
      </c>
      <c r="L4" s="227" t="s">
        <v>580</v>
      </c>
      <c r="M4" s="179"/>
      <c r="N4" s="179"/>
      <c r="O4" s="179"/>
      <c r="P4" s="179"/>
      <c r="Q4" s="179"/>
      <c r="R4" s="179"/>
      <c r="S4" s="179"/>
      <c r="T4" s="5"/>
      <c r="U4" s="5"/>
    </row>
    <row r="5" spans="1:21" ht="12.75">
      <c r="A5" s="158"/>
      <c r="B5" s="160"/>
      <c r="D5" s="179"/>
      <c r="E5" s="228" t="s">
        <v>453</v>
      </c>
      <c r="F5" s="228" t="s">
        <v>454</v>
      </c>
      <c r="G5" s="228" t="s">
        <v>453</v>
      </c>
      <c r="H5" s="228" t="s">
        <v>453</v>
      </c>
      <c r="I5" s="228" t="s">
        <v>453</v>
      </c>
      <c r="J5" s="228" t="s">
        <v>453</v>
      </c>
      <c r="K5" s="228" t="s">
        <v>453</v>
      </c>
      <c r="L5" s="328" t="s">
        <v>581</v>
      </c>
      <c r="M5" s="179"/>
      <c r="N5" s="179"/>
      <c r="O5" s="179"/>
      <c r="P5" s="179"/>
      <c r="Q5" s="179"/>
      <c r="R5" s="179"/>
      <c r="S5" s="179"/>
      <c r="T5" s="5"/>
      <c r="U5" s="5"/>
    </row>
    <row r="6" spans="1:21" ht="12.75">
      <c r="A6" s="158"/>
      <c r="B6" s="160"/>
      <c r="C6" s="401" t="s">
        <v>495</v>
      </c>
      <c r="D6" s="401"/>
      <c r="E6" s="237">
        <v>0.5</v>
      </c>
      <c r="F6" s="237">
        <v>2</v>
      </c>
      <c r="G6" s="237">
        <v>7</v>
      </c>
      <c r="H6" s="237">
        <v>0.02</v>
      </c>
      <c r="I6" s="237">
        <v>0.0004</v>
      </c>
      <c r="J6" s="237">
        <v>0.2</v>
      </c>
      <c r="K6" s="238">
        <v>0.001</v>
      </c>
      <c r="L6" s="329"/>
      <c r="M6" s="179"/>
      <c r="N6" s="179"/>
      <c r="O6" s="179"/>
      <c r="P6" s="179"/>
      <c r="Q6" s="179"/>
      <c r="R6" s="179"/>
      <c r="S6" s="179"/>
      <c r="T6" s="5"/>
      <c r="U6" s="5"/>
    </row>
    <row r="7" spans="1:21" ht="12.75">
      <c r="A7" s="158"/>
      <c r="B7" s="160"/>
      <c r="C7" s="401" t="s">
        <v>455</v>
      </c>
      <c r="D7" s="401"/>
      <c r="E7" s="237">
        <v>2</v>
      </c>
      <c r="F7" s="237">
        <v>8</v>
      </c>
      <c r="G7" s="237">
        <v>30</v>
      </c>
      <c r="H7" s="237">
        <v>0.1</v>
      </c>
      <c r="I7" s="237">
        <v>0.002</v>
      </c>
      <c r="J7" s="237">
        <v>0.8</v>
      </c>
      <c r="K7" s="238">
        <v>0.005</v>
      </c>
      <c r="L7" s="329"/>
      <c r="M7" s="224"/>
      <c r="N7" s="225"/>
      <c r="O7" s="225"/>
      <c r="P7" s="225"/>
      <c r="Q7" s="225"/>
      <c r="R7" s="225"/>
      <c r="S7" s="225"/>
      <c r="T7" s="5"/>
      <c r="U7" s="5"/>
    </row>
    <row r="8" spans="1:21" ht="12.75">
      <c r="A8" s="158"/>
      <c r="B8" s="160"/>
      <c r="C8" s="433">
        <v>1999</v>
      </c>
      <c r="D8" s="433"/>
      <c r="E8" s="239">
        <v>0.5</v>
      </c>
      <c r="F8" s="239">
        <v>25</v>
      </c>
      <c r="G8" s="239">
        <v>30</v>
      </c>
      <c r="H8" s="239">
        <v>0.06</v>
      </c>
      <c r="I8" s="239">
        <v>0.01</v>
      </c>
      <c r="J8" s="240">
        <v>2</v>
      </c>
      <c r="K8" s="241"/>
      <c r="L8" s="329"/>
      <c r="M8" s="224"/>
      <c r="N8" s="225"/>
      <c r="O8" s="225"/>
      <c r="P8" s="225"/>
      <c r="Q8" s="225"/>
      <c r="R8" s="225"/>
      <c r="S8" s="225"/>
      <c r="T8" s="5"/>
      <c r="U8" s="5"/>
    </row>
    <row r="9" spans="1:21" ht="12.75">
      <c r="A9" s="158"/>
      <c r="B9" s="160"/>
      <c r="C9" s="432">
        <v>2000</v>
      </c>
      <c r="D9" s="432"/>
      <c r="E9" s="239">
        <v>0.25</v>
      </c>
      <c r="F9" s="239">
        <v>11</v>
      </c>
      <c r="G9" s="239">
        <v>12</v>
      </c>
      <c r="H9" s="239">
        <v>0.02</v>
      </c>
      <c r="I9" s="239">
        <v>0.026</v>
      </c>
      <c r="J9" s="240">
        <v>0.8</v>
      </c>
      <c r="K9" s="242"/>
      <c r="L9" s="329"/>
      <c r="M9" s="222"/>
      <c r="N9" s="226"/>
      <c r="O9" s="226"/>
      <c r="P9" s="226"/>
      <c r="Q9" s="226"/>
      <c r="R9" s="226"/>
      <c r="S9" s="225"/>
      <c r="T9" s="5"/>
      <c r="U9" s="5"/>
    </row>
    <row r="10" spans="1:21" ht="12.75">
      <c r="A10" s="158"/>
      <c r="B10" s="160"/>
      <c r="C10" s="432">
        <v>2001</v>
      </c>
      <c r="D10" s="432"/>
      <c r="E10" s="239">
        <v>0.5</v>
      </c>
      <c r="F10" s="239">
        <v>14.9</v>
      </c>
      <c r="G10" s="239">
        <v>22</v>
      </c>
      <c r="H10" s="239">
        <v>0.02</v>
      </c>
      <c r="I10" s="239">
        <v>0.0328</v>
      </c>
      <c r="J10" s="240">
        <v>0.77</v>
      </c>
      <c r="K10" s="242">
        <v>2</v>
      </c>
      <c r="L10" s="329"/>
      <c r="M10" s="222"/>
      <c r="N10" s="226"/>
      <c r="O10" s="226"/>
      <c r="P10" s="226"/>
      <c r="Q10" s="226"/>
      <c r="R10" s="226"/>
      <c r="S10" s="225"/>
      <c r="T10" s="5"/>
      <c r="U10" s="5"/>
    </row>
    <row r="11" spans="1:21" ht="12.75">
      <c r="A11" s="158"/>
      <c r="B11" s="160"/>
      <c r="C11" s="432">
        <v>2002</v>
      </c>
      <c r="D11" s="432"/>
      <c r="E11" s="239">
        <v>1</v>
      </c>
      <c r="F11" s="239">
        <v>14.9</v>
      </c>
      <c r="G11" s="239">
        <v>22</v>
      </c>
      <c r="H11" s="239">
        <v>0.05</v>
      </c>
      <c r="I11" s="239">
        <v>0.0916</v>
      </c>
      <c r="J11" s="240">
        <v>3.1</v>
      </c>
      <c r="K11" s="242">
        <v>79</v>
      </c>
      <c r="L11" s="329"/>
      <c r="M11" s="222"/>
      <c r="N11" s="226"/>
      <c r="O11" s="226"/>
      <c r="P11" s="226"/>
      <c r="Q11" s="226"/>
      <c r="R11" s="226"/>
      <c r="S11" s="225"/>
      <c r="T11" s="5"/>
      <c r="U11" s="5"/>
    </row>
    <row r="12" spans="1:21" ht="12.75">
      <c r="A12" s="158"/>
      <c r="B12" s="160"/>
      <c r="C12" s="432">
        <v>2003</v>
      </c>
      <c r="D12" s="432"/>
      <c r="E12" s="239">
        <v>0.82</v>
      </c>
      <c r="F12" s="239">
        <v>33.6</v>
      </c>
      <c r="G12" s="239">
        <v>42.4</v>
      </c>
      <c r="H12" s="239">
        <v>0.08</v>
      </c>
      <c r="I12" s="239">
        <v>0.027</v>
      </c>
      <c r="J12" s="240">
        <v>2.25</v>
      </c>
      <c r="K12" s="242">
        <v>8.95</v>
      </c>
      <c r="L12" s="329"/>
      <c r="M12" s="222"/>
      <c r="N12" s="226"/>
      <c r="O12" s="226"/>
      <c r="P12" s="226"/>
      <c r="Q12" s="226"/>
      <c r="R12" s="226"/>
      <c r="S12" s="225"/>
      <c r="T12" s="5"/>
      <c r="U12" s="5"/>
    </row>
    <row r="13" spans="1:21" ht="12.75">
      <c r="A13" s="158"/>
      <c r="B13" s="160"/>
      <c r="C13" s="432">
        <v>2004</v>
      </c>
      <c r="D13" s="432"/>
      <c r="E13" s="239">
        <v>0.99</v>
      </c>
      <c r="F13" s="239">
        <v>27.2</v>
      </c>
      <c r="G13" s="239">
        <v>36.2</v>
      </c>
      <c r="H13" s="239">
        <v>0</v>
      </c>
      <c r="I13" s="239">
        <v>0.03</v>
      </c>
      <c r="J13" s="240">
        <v>2</v>
      </c>
      <c r="K13" s="242">
        <v>4.3</v>
      </c>
      <c r="L13" s="329"/>
      <c r="M13" s="222"/>
      <c r="N13" s="226"/>
      <c r="O13" s="226"/>
      <c r="P13" s="226"/>
      <c r="Q13" s="226"/>
      <c r="R13" s="226"/>
      <c r="S13" s="225"/>
      <c r="T13" s="5"/>
      <c r="U13" s="5"/>
    </row>
    <row r="14" spans="1:21" ht="12.75">
      <c r="A14" s="5"/>
      <c r="B14" s="5"/>
      <c r="C14" s="432">
        <v>2005</v>
      </c>
      <c r="D14" s="432"/>
      <c r="E14" s="326">
        <v>0</v>
      </c>
      <c r="F14" s="326">
        <v>3.6</v>
      </c>
      <c r="G14" s="326">
        <v>3.6</v>
      </c>
      <c r="H14" s="326">
        <v>0</v>
      </c>
      <c r="I14" s="59">
        <v>0.0397</v>
      </c>
      <c r="J14" s="327">
        <v>0</v>
      </c>
      <c r="K14" s="242">
        <v>1.7</v>
      </c>
      <c r="L14" s="330">
        <v>98</v>
      </c>
      <c r="M14" s="5"/>
      <c r="N14" s="5"/>
      <c r="O14" s="5"/>
      <c r="P14" s="5"/>
      <c r="Q14" s="5"/>
      <c r="R14" s="5"/>
      <c r="S14" s="5"/>
      <c r="T14" s="5"/>
      <c r="U14" s="5"/>
    </row>
    <row r="15" spans="1:2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</sheetData>
  <mergeCells count="11">
    <mergeCell ref="C14:D14"/>
    <mergeCell ref="C13:D13"/>
    <mergeCell ref="A1:K1"/>
    <mergeCell ref="C8:D8"/>
    <mergeCell ref="C9:D9"/>
    <mergeCell ref="C10:D10"/>
    <mergeCell ref="C11:D11"/>
    <mergeCell ref="M3:S3"/>
    <mergeCell ref="C6:D6"/>
    <mergeCell ref="C7:D7"/>
    <mergeCell ref="C12:D1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90"/>
  <sheetViews>
    <sheetView workbookViewId="0" topLeftCell="F1">
      <selection activeCell="J20" sqref="J20"/>
    </sheetView>
  </sheetViews>
  <sheetFormatPr defaultColWidth="9.140625" defaultRowHeight="12.75"/>
  <cols>
    <col min="1" max="1" width="12.00390625" style="5" customWidth="1"/>
    <col min="2" max="2" width="10.57421875" style="5" customWidth="1"/>
    <col min="3" max="3" width="10.7109375" style="5" customWidth="1"/>
    <col min="4" max="7" width="9.140625" style="5" customWidth="1"/>
    <col min="8" max="8" width="11.421875" style="5" customWidth="1"/>
    <col min="9" max="14" width="9.140625" style="5" customWidth="1"/>
    <col min="15" max="15" width="9.7109375" style="5" bestFit="1" customWidth="1"/>
    <col min="16" max="16384" width="9.140625" style="5" customWidth="1"/>
  </cols>
  <sheetData>
    <row r="1" spans="1:2" ht="12.75">
      <c r="A1" s="5">
        <v>2005</v>
      </c>
      <c r="B1" s="5" t="s">
        <v>349</v>
      </c>
    </row>
    <row r="2" spans="2:5" ht="12.75">
      <c r="B2" s="66" t="s">
        <v>366</v>
      </c>
      <c r="C2" s="66" t="s">
        <v>350</v>
      </c>
      <c r="D2" s="66" t="s">
        <v>284</v>
      </c>
      <c r="E2" s="66"/>
    </row>
    <row r="3" spans="1:5" ht="12.75">
      <c r="A3" s="154" t="s">
        <v>105</v>
      </c>
      <c r="B3" s="44">
        <v>16</v>
      </c>
      <c r="C3"/>
      <c r="D3" s="36">
        <v>6.5616</v>
      </c>
      <c r="E3" s="64" t="s">
        <v>105</v>
      </c>
    </row>
    <row r="4" spans="1:5" ht="12.75">
      <c r="A4" s="154" t="s">
        <v>106</v>
      </c>
      <c r="B4" s="44">
        <v>18</v>
      </c>
      <c r="C4">
        <v>8</v>
      </c>
      <c r="D4" s="36">
        <v>4.921200000000001</v>
      </c>
      <c r="E4" s="64" t="s">
        <v>106</v>
      </c>
    </row>
    <row r="5" spans="1:5" ht="12.75">
      <c r="A5" s="154" t="s">
        <v>107</v>
      </c>
      <c r="B5" s="44">
        <v>26</v>
      </c>
      <c r="C5">
        <v>12.7</v>
      </c>
      <c r="D5" s="36">
        <v>4.921200000000001</v>
      </c>
      <c r="E5" s="64" t="s">
        <v>107</v>
      </c>
    </row>
    <row r="6" spans="1:5" ht="12.75">
      <c r="A6" s="154" t="s">
        <v>108</v>
      </c>
      <c r="B6" s="44">
        <v>19</v>
      </c>
      <c r="C6">
        <v>8.6</v>
      </c>
      <c r="D6" s="36">
        <v>4.921200000000001</v>
      </c>
      <c r="E6" s="64" t="s">
        <v>108</v>
      </c>
    </row>
    <row r="7" spans="1:5" ht="12.75">
      <c r="A7" s="154" t="s">
        <v>109</v>
      </c>
      <c r="B7" s="44">
        <v>42</v>
      </c>
      <c r="C7">
        <v>2.6</v>
      </c>
      <c r="D7" s="36">
        <v>9.842400000000001</v>
      </c>
      <c r="E7" s="64" t="s">
        <v>109</v>
      </c>
    </row>
    <row r="8" spans="1:5" ht="12.75">
      <c r="A8" s="154" t="s">
        <v>110</v>
      </c>
      <c r="B8" s="44">
        <v>30</v>
      </c>
      <c r="C8">
        <v>2.2</v>
      </c>
      <c r="D8" s="36">
        <v>8.202</v>
      </c>
      <c r="E8" s="64" t="s">
        <v>110</v>
      </c>
    </row>
    <row r="9" spans="1:5" ht="12.75">
      <c r="A9" s="154" t="s">
        <v>111</v>
      </c>
      <c r="B9" s="44">
        <v>22</v>
      </c>
      <c r="C9">
        <v>4.35</v>
      </c>
      <c r="D9" s="36">
        <v>11.482800000000001</v>
      </c>
      <c r="E9" s="64" t="s">
        <v>111</v>
      </c>
    </row>
    <row r="10" spans="1:5" ht="12.75">
      <c r="A10" s="154" t="s">
        <v>112</v>
      </c>
      <c r="B10" s="44">
        <v>30</v>
      </c>
      <c r="C10">
        <v>8.1</v>
      </c>
      <c r="D10" s="36">
        <v>6.5616</v>
      </c>
      <c r="E10" s="64" t="s">
        <v>112</v>
      </c>
    </row>
    <row r="11" spans="1:5" ht="12.75">
      <c r="A11" s="154" t="s">
        <v>113</v>
      </c>
      <c r="B11" s="44">
        <v>16</v>
      </c>
      <c r="C11">
        <v>7.7</v>
      </c>
      <c r="D11" s="36">
        <v>4.101000000000001</v>
      </c>
      <c r="E11" s="64" t="s">
        <v>113</v>
      </c>
    </row>
    <row r="12" spans="1:5" ht="12.75">
      <c r="A12" s="154" t="s">
        <v>114</v>
      </c>
      <c r="B12" s="44">
        <v>26</v>
      </c>
      <c r="C12">
        <v>8.9</v>
      </c>
      <c r="D12" s="36">
        <v>5.7414000000000005</v>
      </c>
      <c r="E12" s="64" t="s">
        <v>114</v>
      </c>
    </row>
    <row r="13" spans="1:5" ht="12.75">
      <c r="A13" s="154" t="s">
        <v>115</v>
      </c>
      <c r="B13" s="44">
        <v>24</v>
      </c>
      <c r="C13">
        <v>8.7</v>
      </c>
      <c r="D13" s="36">
        <v>6.877061538461538</v>
      </c>
      <c r="E13" s="64" t="s">
        <v>115</v>
      </c>
    </row>
    <row r="14" spans="1:5" ht="12.75">
      <c r="A14" s="154" t="s">
        <v>116</v>
      </c>
      <c r="B14" s="43"/>
      <c r="C14"/>
      <c r="D14" s="64"/>
      <c r="E14" s="64" t="s">
        <v>116</v>
      </c>
    </row>
    <row r="15" spans="1:4" ht="12.75">
      <c r="A15" s="155"/>
      <c r="B15" s="75"/>
      <c r="C15" s="75"/>
      <c r="D15" s="75"/>
    </row>
    <row r="16" spans="1:4" ht="12.75">
      <c r="A16" s="155"/>
      <c r="B16" s="75"/>
      <c r="C16" s="75"/>
      <c r="D16" s="75"/>
    </row>
    <row r="17" spans="1:3" ht="16.5">
      <c r="A17" s="65"/>
      <c r="B17" s="156"/>
      <c r="C17" s="157"/>
    </row>
    <row r="19" spans="1:7" ht="38.25">
      <c r="A19" s="5" t="s">
        <v>341</v>
      </c>
      <c r="B19" s="64" t="s">
        <v>350</v>
      </c>
      <c r="C19" s="213" t="s">
        <v>348</v>
      </c>
      <c r="E19" s="158"/>
      <c r="F19" s="159"/>
      <c r="G19" s="158"/>
    </row>
    <row r="20" spans="1:7" ht="12.75">
      <c r="A20" s="5">
        <v>1982</v>
      </c>
      <c r="B20" s="64">
        <v>15</v>
      </c>
      <c r="C20" s="64">
        <v>23</v>
      </c>
      <c r="D20"/>
      <c r="E20" s="158"/>
      <c r="F20" s="160"/>
      <c r="G20"/>
    </row>
    <row r="21" spans="1:7" ht="12.75">
      <c r="A21" s="5">
        <v>1983</v>
      </c>
      <c r="B21" s="64">
        <v>16</v>
      </c>
      <c r="C21" s="64">
        <v>50</v>
      </c>
      <c r="D21"/>
      <c r="E21" s="158"/>
      <c r="F21" s="160"/>
      <c r="G21"/>
    </row>
    <row r="22" spans="1:7" ht="12.75">
      <c r="A22" s="5">
        <v>1984</v>
      </c>
      <c r="B22" s="64">
        <v>6.7</v>
      </c>
      <c r="C22" s="64">
        <v>35</v>
      </c>
      <c r="D22"/>
      <c r="E22" s="158"/>
      <c r="F22" s="160"/>
      <c r="G22"/>
    </row>
    <row r="23" spans="1:7" ht="12.75">
      <c r="A23" s="5">
        <v>1985</v>
      </c>
      <c r="B23" s="64">
        <v>8.9</v>
      </c>
      <c r="C23" s="64">
        <v>28</v>
      </c>
      <c r="D23"/>
      <c r="E23" s="158"/>
      <c r="F23" s="160"/>
      <c r="G23"/>
    </row>
    <row r="24" spans="1:7" ht="12.75">
      <c r="A24" s="5">
        <v>1987</v>
      </c>
      <c r="B24" s="64">
        <v>10</v>
      </c>
      <c r="C24" s="64">
        <v>57</v>
      </c>
      <c r="E24" s="158"/>
      <c r="F24" s="160"/>
      <c r="G24"/>
    </row>
    <row r="25" spans="1:7" ht="12.75">
      <c r="A25" s="5">
        <v>1988</v>
      </c>
      <c r="B25" s="64">
        <v>9</v>
      </c>
      <c r="C25" s="64">
        <v>16</v>
      </c>
      <c r="D25" s="75"/>
      <c r="E25" s="158"/>
      <c r="F25" s="160"/>
      <c r="G25"/>
    </row>
    <row r="26" spans="1:7" ht="12.75">
      <c r="A26" s="5">
        <v>1989</v>
      </c>
      <c r="B26" s="64">
        <v>2.3</v>
      </c>
      <c r="C26" s="64">
        <v>16</v>
      </c>
      <c r="D26" s="75"/>
      <c r="E26" s="158"/>
      <c r="F26" s="160"/>
      <c r="G26"/>
    </row>
    <row r="27" spans="1:7" ht="12.75">
      <c r="A27" s="5">
        <v>1990</v>
      </c>
      <c r="B27" s="64">
        <v>10</v>
      </c>
      <c r="C27" s="64">
        <v>27</v>
      </c>
      <c r="D27" s="75"/>
      <c r="E27" s="158"/>
      <c r="F27" s="160"/>
      <c r="G27"/>
    </row>
    <row r="28" spans="1:7" ht="12.75">
      <c r="A28" s="5">
        <v>1991</v>
      </c>
      <c r="B28" s="64">
        <v>1.6</v>
      </c>
      <c r="C28" s="64">
        <v>17</v>
      </c>
      <c r="D28" s="75"/>
      <c r="E28" s="158"/>
      <c r="F28" s="160"/>
      <c r="G28"/>
    </row>
    <row r="29" spans="1:7" ht="12.75">
      <c r="A29" s="5">
        <v>1992</v>
      </c>
      <c r="B29" s="64">
        <v>4.2</v>
      </c>
      <c r="C29" s="64">
        <v>31</v>
      </c>
      <c r="D29" s="75"/>
      <c r="E29" s="158"/>
      <c r="F29" s="160"/>
      <c r="G29"/>
    </row>
    <row r="30" spans="1:7" ht="12.75">
      <c r="A30" s="5">
        <v>1993</v>
      </c>
      <c r="B30" s="64">
        <v>4.4</v>
      </c>
      <c r="C30" s="64">
        <v>21</v>
      </c>
      <c r="D30" s="75"/>
      <c r="E30" s="158"/>
      <c r="F30" s="160"/>
      <c r="G30"/>
    </row>
    <row r="31" spans="1:7" ht="12.75">
      <c r="A31" s="5">
        <v>1994</v>
      </c>
      <c r="B31" s="64">
        <v>3.3</v>
      </c>
      <c r="C31" s="64">
        <v>14</v>
      </c>
      <c r="D31" s="75"/>
      <c r="E31" s="158"/>
      <c r="F31" s="160"/>
      <c r="G31"/>
    </row>
    <row r="32" spans="1:7" ht="12.75">
      <c r="A32" s="5">
        <v>1995</v>
      </c>
      <c r="B32" s="64">
        <v>1.2</v>
      </c>
      <c r="C32" s="64">
        <v>13</v>
      </c>
      <c r="E32" s="158"/>
      <c r="F32" s="160"/>
      <c r="G32"/>
    </row>
    <row r="33" spans="1:7" ht="12.75">
      <c r="A33" s="5">
        <v>1996</v>
      </c>
      <c r="B33" s="64">
        <v>3.7</v>
      </c>
      <c r="C33" s="64">
        <v>26</v>
      </c>
      <c r="E33" s="158"/>
      <c r="F33" s="160"/>
      <c r="G33"/>
    </row>
    <row r="34" spans="1:7" ht="12.75">
      <c r="A34" s="5">
        <v>1997</v>
      </c>
      <c r="B34" s="64">
        <v>2.3</v>
      </c>
      <c r="C34" s="64">
        <v>13</v>
      </c>
      <c r="E34" s="158"/>
      <c r="F34" s="160"/>
      <c r="G34"/>
    </row>
    <row r="35" spans="1:7" ht="12.75">
      <c r="A35" s="5">
        <v>1998</v>
      </c>
      <c r="B35" s="64">
        <v>4.2</v>
      </c>
      <c r="C35" s="64">
        <v>17</v>
      </c>
      <c r="E35" s="158"/>
      <c r="F35" s="160"/>
      <c r="G35"/>
    </row>
    <row r="36" spans="1:7" ht="12.75">
      <c r="A36" s="5">
        <v>1999</v>
      </c>
      <c r="B36" s="64">
        <v>4.3</v>
      </c>
      <c r="C36" s="64">
        <v>20</v>
      </c>
      <c r="E36" s="158"/>
      <c r="F36" s="160"/>
      <c r="G36"/>
    </row>
    <row r="37" spans="1:7" ht="12.75">
      <c r="A37" s="5">
        <v>2000</v>
      </c>
      <c r="B37" s="64">
        <v>7.5</v>
      </c>
      <c r="C37" s="64">
        <v>12</v>
      </c>
      <c r="E37" s="158"/>
      <c r="F37" s="160"/>
      <c r="G37"/>
    </row>
    <row r="38" spans="1:7" ht="12.75">
      <c r="A38" s="5">
        <v>2001</v>
      </c>
      <c r="B38" s="64">
        <v>10</v>
      </c>
      <c r="C38" s="64">
        <v>23</v>
      </c>
      <c r="E38" s="158"/>
      <c r="F38" s="160"/>
      <c r="G38"/>
    </row>
    <row r="39" spans="1:7" ht="12.75">
      <c r="A39" s="5">
        <v>2002</v>
      </c>
      <c r="B39" s="64">
        <v>9.4</v>
      </c>
      <c r="C39" s="64">
        <v>23</v>
      </c>
      <c r="E39" s="158"/>
      <c r="F39" s="160"/>
      <c r="G39"/>
    </row>
    <row r="40" spans="1:7" ht="12.75">
      <c r="A40" s="5">
        <v>2003</v>
      </c>
      <c r="B40" s="64">
        <v>10.7</v>
      </c>
      <c r="C40" s="64">
        <v>32.1</v>
      </c>
      <c r="E40" s="158"/>
      <c r="F40" s="160"/>
      <c r="G40"/>
    </row>
    <row r="41" spans="1:7" ht="12.75">
      <c r="A41" s="5">
        <v>2004</v>
      </c>
      <c r="B41" s="64">
        <v>7.5</v>
      </c>
      <c r="C41" s="64">
        <v>30.1</v>
      </c>
      <c r="E41" s="158"/>
      <c r="F41" s="160"/>
      <c r="G41"/>
    </row>
    <row r="42" spans="1:7" ht="12.75">
      <c r="A42" s="5">
        <v>2005</v>
      </c>
      <c r="B42" s="64">
        <v>7.1</v>
      </c>
      <c r="C42" s="64">
        <v>25.9</v>
      </c>
      <c r="E42" s="158"/>
      <c r="F42" s="160"/>
      <c r="G42"/>
    </row>
    <row r="43" spans="2:7" ht="12.75">
      <c r="B43" s="64"/>
      <c r="C43" s="64"/>
      <c r="E43" s="158"/>
      <c r="F43" s="160"/>
      <c r="G43"/>
    </row>
    <row r="44" spans="1:7" ht="38.25">
      <c r="A44" s="5" t="s">
        <v>441</v>
      </c>
      <c r="B44" s="64" t="s">
        <v>350</v>
      </c>
      <c r="C44" s="213" t="s">
        <v>348</v>
      </c>
      <c r="D44" s="5" t="s">
        <v>367</v>
      </c>
      <c r="E44" s="158" t="s">
        <v>368</v>
      </c>
      <c r="F44" s="160"/>
      <c r="G44"/>
    </row>
    <row r="45" spans="1:7" ht="12.75">
      <c r="A45" s="64">
        <v>1982</v>
      </c>
      <c r="B45" s="64">
        <v>15</v>
      </c>
      <c r="C45" s="64">
        <v>23</v>
      </c>
      <c r="D45" s="5">
        <f>LOG(B45)</f>
        <v>1.1760912590556813</v>
      </c>
      <c r="E45" s="5">
        <f>LOG(C45)</f>
        <v>1.3617278360175928</v>
      </c>
      <c r="F45" s="160"/>
      <c r="G45"/>
    </row>
    <row r="46" spans="1:7" ht="12.75">
      <c r="A46" s="64">
        <v>1983</v>
      </c>
      <c r="B46" s="64">
        <v>16</v>
      </c>
      <c r="C46" s="64">
        <v>50</v>
      </c>
      <c r="D46" s="5">
        <f aca="true" t="shared" si="0" ref="D46:E67">LOG(B46)</f>
        <v>1.2041199826559248</v>
      </c>
      <c r="E46" s="5">
        <f t="shared" si="0"/>
        <v>1.6989700043360187</v>
      </c>
      <c r="F46" s="160"/>
      <c r="G46"/>
    </row>
    <row r="47" spans="1:7" ht="12.75">
      <c r="A47" s="64">
        <v>1984</v>
      </c>
      <c r="B47" s="64">
        <v>6.7</v>
      </c>
      <c r="C47" s="64">
        <v>35</v>
      </c>
      <c r="D47" s="5">
        <f t="shared" si="0"/>
        <v>0.8260748027008264</v>
      </c>
      <c r="E47" s="5">
        <f t="shared" si="0"/>
        <v>1.5440680443502757</v>
      </c>
      <c r="F47" s="160"/>
      <c r="G47"/>
    </row>
    <row r="48" spans="1:7" ht="12.75">
      <c r="A48" s="64">
        <v>1985</v>
      </c>
      <c r="B48" s="64">
        <v>8.9</v>
      </c>
      <c r="C48" s="64">
        <v>28</v>
      </c>
      <c r="D48" s="5">
        <f t="shared" si="0"/>
        <v>0.9493900066449128</v>
      </c>
      <c r="E48" s="5">
        <f t="shared" si="0"/>
        <v>1.4471580313422192</v>
      </c>
      <c r="F48" s="160"/>
      <c r="G48"/>
    </row>
    <row r="49" spans="1:7" ht="12.75">
      <c r="A49" s="64">
        <v>1987</v>
      </c>
      <c r="B49" s="64">
        <v>15</v>
      </c>
      <c r="C49" s="64">
        <v>60</v>
      </c>
      <c r="D49" s="5">
        <f t="shared" si="0"/>
        <v>1.1760912590556813</v>
      </c>
      <c r="E49" s="5">
        <f t="shared" si="0"/>
        <v>1.7781512503836436</v>
      </c>
      <c r="F49" s="160"/>
      <c r="G49"/>
    </row>
    <row r="50" spans="1:7" ht="12.75">
      <c r="A50" s="64">
        <v>1988</v>
      </c>
      <c r="B50" s="64">
        <v>9</v>
      </c>
      <c r="C50" s="64">
        <v>15</v>
      </c>
      <c r="D50" s="5">
        <f t="shared" si="0"/>
        <v>0.9542425094393249</v>
      </c>
      <c r="E50" s="5">
        <f t="shared" si="0"/>
        <v>1.1760912590556813</v>
      </c>
      <c r="F50" s="160"/>
      <c r="G50"/>
    </row>
    <row r="51" spans="1:7" ht="12.75">
      <c r="A51" s="64">
        <v>1989</v>
      </c>
      <c r="B51" s="64">
        <v>2.3</v>
      </c>
      <c r="C51" s="64">
        <v>12</v>
      </c>
      <c r="D51" s="5">
        <f t="shared" si="0"/>
        <v>0.36172783601759284</v>
      </c>
      <c r="E51" s="5">
        <f t="shared" si="0"/>
        <v>1.0791812460476249</v>
      </c>
      <c r="F51" s="160"/>
      <c r="G51"/>
    </row>
    <row r="52" spans="1:7" ht="12.75">
      <c r="A52" s="64">
        <v>1990</v>
      </c>
      <c r="B52" s="64">
        <v>6.6</v>
      </c>
      <c r="C52" s="64">
        <v>27</v>
      </c>
      <c r="D52" s="5">
        <f t="shared" si="0"/>
        <v>0.8195439355418687</v>
      </c>
      <c r="E52" s="5">
        <f t="shared" si="0"/>
        <v>1.4313637641589874</v>
      </c>
      <c r="F52" s="160"/>
      <c r="G52"/>
    </row>
    <row r="53" spans="1:7" ht="12.75">
      <c r="A53" s="64">
        <v>1991</v>
      </c>
      <c r="B53" s="64">
        <v>4.6</v>
      </c>
      <c r="C53" s="64">
        <v>29</v>
      </c>
      <c r="D53" s="5">
        <f t="shared" si="0"/>
        <v>0.6627578316815741</v>
      </c>
      <c r="E53" s="5">
        <f t="shared" si="0"/>
        <v>1.462397997898956</v>
      </c>
      <c r="F53" s="160"/>
      <c r="G53"/>
    </row>
    <row r="54" spans="1:7" ht="12.75">
      <c r="A54" s="64">
        <v>1992</v>
      </c>
      <c r="B54" s="64">
        <v>4.5</v>
      </c>
      <c r="C54" s="64">
        <v>27</v>
      </c>
      <c r="D54" s="5">
        <f t="shared" si="0"/>
        <v>0.6532125137753437</v>
      </c>
      <c r="E54" s="5">
        <f t="shared" si="0"/>
        <v>1.4313637641589874</v>
      </c>
      <c r="F54" s="160"/>
      <c r="G54"/>
    </row>
    <row r="55" spans="1:7" ht="12.75">
      <c r="A55" s="64">
        <v>1993</v>
      </c>
      <c r="B55" s="64">
        <v>4.1</v>
      </c>
      <c r="C55" s="64">
        <v>18</v>
      </c>
      <c r="D55" s="5">
        <f t="shared" si="0"/>
        <v>0.6127838567197355</v>
      </c>
      <c r="E55" s="5">
        <f t="shared" si="0"/>
        <v>1.255272505103306</v>
      </c>
      <c r="F55" s="160"/>
      <c r="G55"/>
    </row>
    <row r="56" spans="1:7" ht="12.75">
      <c r="A56" s="64">
        <v>1994</v>
      </c>
      <c r="B56" s="64">
        <v>3.2</v>
      </c>
      <c r="C56" s="64">
        <v>29</v>
      </c>
      <c r="D56" s="5">
        <f t="shared" si="0"/>
        <v>0.505149978319906</v>
      </c>
      <c r="E56" s="5">
        <f t="shared" si="0"/>
        <v>1.462397997898956</v>
      </c>
      <c r="F56" s="160"/>
      <c r="G56"/>
    </row>
    <row r="57" spans="1:7" ht="12.75">
      <c r="A57" s="64">
        <v>1995</v>
      </c>
      <c r="B57" s="64">
        <v>1.2</v>
      </c>
      <c r="C57" s="64">
        <v>20</v>
      </c>
      <c r="D57" s="5">
        <f t="shared" si="0"/>
        <v>0.07918124604762482</v>
      </c>
      <c r="E57" s="5">
        <f t="shared" si="0"/>
        <v>1.3010299956639813</v>
      </c>
      <c r="F57" s="160"/>
      <c r="G57"/>
    </row>
    <row r="58" spans="1:7" ht="12.75">
      <c r="A58" s="64">
        <v>1996</v>
      </c>
      <c r="B58" s="64">
        <v>4.3</v>
      </c>
      <c r="C58" s="64">
        <v>37</v>
      </c>
      <c r="D58" s="5">
        <f t="shared" si="0"/>
        <v>0.6334684555795865</v>
      </c>
      <c r="E58" s="5">
        <f t="shared" si="0"/>
        <v>1.568201724066995</v>
      </c>
      <c r="F58" s="160"/>
      <c r="G58"/>
    </row>
    <row r="59" spans="1:7" ht="12.75">
      <c r="A59" s="64">
        <v>1997</v>
      </c>
      <c r="B59" s="64">
        <v>2.8</v>
      </c>
      <c r="C59" s="64">
        <v>15</v>
      </c>
      <c r="D59" s="5">
        <f t="shared" si="0"/>
        <v>0.4471580313422192</v>
      </c>
      <c r="E59" s="5">
        <f t="shared" si="0"/>
        <v>1.1760912590556813</v>
      </c>
      <c r="F59" s="160"/>
      <c r="G59"/>
    </row>
    <row r="60" spans="1:7" ht="12.75">
      <c r="A60" s="64">
        <v>1998</v>
      </c>
      <c r="B60" s="64">
        <v>2.9</v>
      </c>
      <c r="C60" s="64">
        <v>17</v>
      </c>
      <c r="D60" s="5">
        <f t="shared" si="0"/>
        <v>0.4623979978989561</v>
      </c>
      <c r="E60" s="5">
        <f t="shared" si="0"/>
        <v>1.2304489213782739</v>
      </c>
      <c r="F60" s="160"/>
      <c r="G60"/>
    </row>
    <row r="61" spans="1:7" ht="12.75">
      <c r="A61" s="64">
        <v>1999</v>
      </c>
      <c r="B61" s="64">
        <v>3</v>
      </c>
      <c r="C61" s="64">
        <v>17</v>
      </c>
      <c r="D61" s="5">
        <f t="shared" si="0"/>
        <v>0.47712125471966244</v>
      </c>
      <c r="E61" s="5">
        <f t="shared" si="0"/>
        <v>1.2304489213782739</v>
      </c>
      <c r="F61" s="160"/>
      <c r="G61"/>
    </row>
    <row r="62" spans="1:7" ht="12.75">
      <c r="A62" s="64">
        <v>2000</v>
      </c>
      <c r="B62" s="64">
        <v>6.24</v>
      </c>
      <c r="C62" s="64">
        <v>14</v>
      </c>
      <c r="D62" s="5">
        <f t="shared" si="0"/>
        <v>0.795184589682424</v>
      </c>
      <c r="E62" s="5">
        <f t="shared" si="0"/>
        <v>1.146128035678238</v>
      </c>
      <c r="F62" s="160"/>
      <c r="G62"/>
    </row>
    <row r="63" spans="1:7" ht="12.75">
      <c r="A63" s="64">
        <v>2001</v>
      </c>
      <c r="B63" s="64">
        <v>10.4</v>
      </c>
      <c r="C63" s="64">
        <v>29</v>
      </c>
      <c r="D63" s="5">
        <f t="shared" si="0"/>
        <v>1.0170333392987803</v>
      </c>
      <c r="E63" s="158">
        <f t="shared" si="0"/>
        <v>1.462397997898956</v>
      </c>
      <c r="F63" s="160"/>
      <c r="G63"/>
    </row>
    <row r="64" spans="1:7" ht="12.75">
      <c r="A64" s="64">
        <v>2002</v>
      </c>
      <c r="B64" s="64">
        <v>9.1</v>
      </c>
      <c r="C64" s="64">
        <v>25</v>
      </c>
      <c r="D64" s="5">
        <f t="shared" si="0"/>
        <v>0.9590413923210935</v>
      </c>
      <c r="E64" s="158">
        <f t="shared" si="0"/>
        <v>1.3979400086720377</v>
      </c>
      <c r="F64" s="161"/>
      <c r="G64"/>
    </row>
    <row r="65" spans="1:7" ht="12.75">
      <c r="A65" s="64">
        <v>2003</v>
      </c>
      <c r="B65" s="64">
        <v>10</v>
      </c>
      <c r="C65" s="64">
        <v>38</v>
      </c>
      <c r="D65" s="5">
        <f t="shared" si="0"/>
        <v>1</v>
      </c>
      <c r="E65" s="158">
        <f t="shared" si="0"/>
        <v>1.5797835966168101</v>
      </c>
      <c r="F65" s="161"/>
      <c r="G65"/>
    </row>
    <row r="66" spans="1:7" ht="12.75">
      <c r="A66" s="64">
        <v>2004</v>
      </c>
      <c r="B66" s="64">
        <v>9.5</v>
      </c>
      <c r="C66" s="64">
        <v>39.5</v>
      </c>
      <c r="D66" s="5">
        <f t="shared" si="0"/>
        <v>0.9777236052888477</v>
      </c>
      <c r="E66" s="158">
        <f t="shared" si="0"/>
        <v>1.5965970956264601</v>
      </c>
      <c r="F66" s="161"/>
      <c r="G66"/>
    </row>
    <row r="67" spans="1:7" ht="12.75">
      <c r="A67" s="64">
        <v>2005</v>
      </c>
      <c r="B67" s="64">
        <v>6.8</v>
      </c>
      <c r="C67" s="64">
        <v>26.6</v>
      </c>
      <c r="D67" s="5">
        <f t="shared" si="0"/>
        <v>0.8325089127062363</v>
      </c>
      <c r="E67" s="158">
        <f t="shared" si="0"/>
        <v>1.424881636631067</v>
      </c>
      <c r="F67" s="161"/>
      <c r="G67"/>
    </row>
    <row r="68" spans="1:7" ht="12.75">
      <c r="A68" s="64"/>
      <c r="B68" s="64"/>
      <c r="C68" s="64"/>
      <c r="E68" s="158"/>
      <c r="F68" s="161"/>
      <c r="G68"/>
    </row>
    <row r="69" spans="1:7" ht="12.75">
      <c r="A69" s="162" t="s">
        <v>426</v>
      </c>
      <c r="B69" s="163"/>
      <c r="C69" s="163"/>
      <c r="D69" s="15"/>
      <c r="E69" s="164"/>
      <c r="F69" s="161"/>
      <c r="G69"/>
    </row>
    <row r="70" spans="1:7" ht="12.75">
      <c r="A70" s="162" t="s">
        <v>440</v>
      </c>
      <c r="B70" s="163"/>
      <c r="C70" s="163"/>
      <c r="D70" s="15"/>
      <c r="E70" s="164"/>
      <c r="F70" s="161"/>
      <c r="G70"/>
    </row>
    <row r="71" spans="1:7" ht="12.75">
      <c r="A71" s="162" t="s">
        <v>427</v>
      </c>
      <c r="B71" s="163"/>
      <c r="C71" s="163"/>
      <c r="D71" s="15"/>
      <c r="E71" s="164"/>
      <c r="F71" s="161"/>
      <c r="G71"/>
    </row>
    <row r="72" spans="1:7" ht="15.75">
      <c r="A72" s="165"/>
      <c r="B72" s="21" t="s">
        <v>428</v>
      </c>
      <c r="C72" s="15"/>
      <c r="E72" s="158"/>
      <c r="F72" s="160"/>
      <c r="G72"/>
    </row>
    <row r="73" spans="1:7" ht="15.75">
      <c r="A73" s="165"/>
      <c r="B73" s="21" t="s">
        <v>429</v>
      </c>
      <c r="C73" s="21" t="s">
        <v>351</v>
      </c>
      <c r="E73" s="158"/>
      <c r="F73" s="160"/>
      <c r="G73"/>
    </row>
    <row r="74" spans="1:7" ht="12.75">
      <c r="A74"/>
      <c r="B74" s="21" t="s">
        <v>430</v>
      </c>
      <c r="C74" s="21" t="s">
        <v>430</v>
      </c>
      <c r="E74" s="158"/>
      <c r="F74" s="160"/>
      <c r="G74"/>
    </row>
    <row r="75" spans="1:7" ht="18.75">
      <c r="A75" s="204" t="s">
        <v>354</v>
      </c>
      <c r="B75" s="221" t="s">
        <v>491</v>
      </c>
      <c r="C75" s="221" t="s">
        <v>492</v>
      </c>
      <c r="E75" s="158"/>
      <c r="F75" s="160"/>
      <c r="G75"/>
    </row>
    <row r="76" spans="1:7" ht="15.75">
      <c r="A76" s="219">
        <v>1982</v>
      </c>
      <c r="B76" s="167">
        <v>23</v>
      </c>
      <c r="C76" s="168">
        <v>15</v>
      </c>
      <c r="E76" s="158"/>
      <c r="F76" s="160"/>
      <c r="G76"/>
    </row>
    <row r="77" spans="1:7" ht="15.75">
      <c r="A77" s="219">
        <v>1983</v>
      </c>
      <c r="B77" s="167">
        <v>50</v>
      </c>
      <c r="C77" s="168">
        <v>16</v>
      </c>
      <c r="E77" s="158"/>
      <c r="F77" s="160"/>
      <c r="G77"/>
    </row>
    <row r="78" spans="1:7" ht="15.75">
      <c r="A78" s="219">
        <v>1984</v>
      </c>
      <c r="B78" s="167">
        <v>35</v>
      </c>
      <c r="C78" s="166">
        <v>6.7</v>
      </c>
      <c r="E78" s="158"/>
      <c r="F78" s="160"/>
      <c r="G78"/>
    </row>
    <row r="79" spans="1:7" ht="15.75">
      <c r="A79" s="219">
        <v>1985</v>
      </c>
      <c r="B79" s="167">
        <v>28</v>
      </c>
      <c r="C79" s="166">
        <v>8.9</v>
      </c>
      <c r="E79" s="158"/>
      <c r="F79" s="160"/>
      <c r="G79"/>
    </row>
    <row r="80" spans="1:7" ht="18.75">
      <c r="A80" s="219">
        <v>1986</v>
      </c>
      <c r="B80" s="169" t="s">
        <v>431</v>
      </c>
      <c r="C80" s="170" t="s">
        <v>431</v>
      </c>
      <c r="E80" s="158"/>
      <c r="F80" s="160"/>
      <c r="G80"/>
    </row>
    <row r="81" spans="1:7" ht="15.75">
      <c r="A81" s="219">
        <v>1987</v>
      </c>
      <c r="B81" s="167">
        <v>77</v>
      </c>
      <c r="C81" s="171">
        <v>5.683333333333334</v>
      </c>
      <c r="E81" s="158"/>
      <c r="F81" s="160"/>
      <c r="G81"/>
    </row>
    <row r="82" spans="1:7" ht="15.75">
      <c r="A82" s="219">
        <v>1988</v>
      </c>
      <c r="B82" s="167">
        <v>23</v>
      </c>
      <c r="C82" s="172">
        <v>7.6433333333333335</v>
      </c>
      <c r="E82" s="158"/>
      <c r="F82" s="160"/>
      <c r="G82"/>
    </row>
    <row r="83" spans="1:7" ht="15.75">
      <c r="A83" s="219">
        <v>1989</v>
      </c>
      <c r="B83" s="167">
        <v>11</v>
      </c>
      <c r="C83" s="172">
        <v>3.6277777777777778</v>
      </c>
      <c r="E83" s="158"/>
      <c r="F83" s="160"/>
      <c r="G83"/>
    </row>
    <row r="84" spans="1:7" ht="15.75">
      <c r="A84" s="219">
        <v>1990</v>
      </c>
      <c r="B84" s="167">
        <v>15</v>
      </c>
      <c r="C84" s="172">
        <v>7.066666666666666</v>
      </c>
      <c r="E84" s="158"/>
      <c r="F84" s="160"/>
      <c r="G84"/>
    </row>
    <row r="85" spans="1:7" ht="15.75">
      <c r="A85" s="219">
        <v>1991</v>
      </c>
      <c r="B85" s="167">
        <v>25</v>
      </c>
      <c r="C85" s="173">
        <v>2.983333333333333</v>
      </c>
      <c r="E85" s="158"/>
      <c r="F85" s="160"/>
      <c r="G85"/>
    </row>
    <row r="86" spans="1:7" ht="15.75">
      <c r="A86" s="219">
        <v>1992</v>
      </c>
      <c r="B86" s="167">
        <v>15</v>
      </c>
      <c r="C86" s="173">
        <v>3.9291666666666663</v>
      </c>
      <c r="E86" s="158"/>
      <c r="F86" s="160"/>
      <c r="G86"/>
    </row>
    <row r="87" spans="1:7" ht="15.75">
      <c r="A87" s="219">
        <v>1993</v>
      </c>
      <c r="B87" s="167">
        <v>15</v>
      </c>
      <c r="C87" s="173">
        <v>3.9916666666666667</v>
      </c>
      <c r="E87" s="158"/>
      <c r="F87" s="160"/>
      <c r="G87"/>
    </row>
    <row r="88" spans="1:7" ht="15.75">
      <c r="A88" s="219">
        <v>1994</v>
      </c>
      <c r="B88" s="174">
        <v>13</v>
      </c>
      <c r="C88" s="175">
        <v>3.016666666666666</v>
      </c>
      <c r="E88" s="158"/>
      <c r="F88" s="160"/>
      <c r="G88"/>
    </row>
    <row r="89" spans="1:7" ht="15.75">
      <c r="A89" s="219">
        <v>1995</v>
      </c>
      <c r="B89" s="174">
        <v>10</v>
      </c>
      <c r="C89" s="175">
        <v>3.5708333333333333</v>
      </c>
      <c r="E89" s="158"/>
      <c r="F89" s="160"/>
      <c r="G89"/>
    </row>
    <row r="90" spans="1:7" ht="15.75">
      <c r="A90" s="219">
        <v>1996</v>
      </c>
      <c r="B90" s="174">
        <v>19</v>
      </c>
      <c r="C90" s="175">
        <v>3.9142857142857146</v>
      </c>
      <c r="E90" s="158"/>
      <c r="F90" s="160"/>
      <c r="G90"/>
    </row>
    <row r="91" spans="1:7" ht="15.75">
      <c r="A91" s="219">
        <v>1997</v>
      </c>
      <c r="B91" s="174">
        <v>15</v>
      </c>
      <c r="C91" s="175">
        <v>2.411111111111111</v>
      </c>
      <c r="E91" s="158"/>
      <c r="F91" s="160"/>
      <c r="G91"/>
    </row>
    <row r="92" spans="1:7" ht="15.75">
      <c r="A92" s="219">
        <v>1998</v>
      </c>
      <c r="B92" s="176">
        <v>24</v>
      </c>
      <c r="C92" s="172">
        <v>3.8</v>
      </c>
      <c r="E92" s="158"/>
      <c r="F92" s="160"/>
      <c r="G92"/>
    </row>
    <row r="93" spans="1:7" ht="15.75">
      <c r="A93" s="220">
        <v>1999</v>
      </c>
      <c r="B93" s="177">
        <v>17</v>
      </c>
      <c r="C93" s="178">
        <v>4.7</v>
      </c>
      <c r="E93" s="158"/>
      <c r="F93" s="160"/>
      <c r="G93"/>
    </row>
    <row r="94" spans="1:7" ht="13.5">
      <c r="A94" s="219">
        <v>2000</v>
      </c>
      <c r="B94" s="64">
        <v>14</v>
      </c>
      <c r="C94" s="140">
        <v>6.24</v>
      </c>
      <c r="E94" s="158"/>
      <c r="F94" s="160"/>
      <c r="G94"/>
    </row>
    <row r="95" spans="1:7" ht="15.75">
      <c r="A95" s="220">
        <v>2001</v>
      </c>
      <c r="B95" s="177">
        <v>23</v>
      </c>
      <c r="C95" s="178">
        <v>10</v>
      </c>
      <c r="E95" s="158"/>
      <c r="F95" s="160"/>
      <c r="G95"/>
    </row>
    <row r="96" spans="1:7" ht="15.75">
      <c r="A96" s="219">
        <v>2002</v>
      </c>
      <c r="B96" s="167">
        <v>25</v>
      </c>
      <c r="C96" s="166">
        <v>9</v>
      </c>
      <c r="E96" s="158"/>
      <c r="F96" s="160"/>
      <c r="G96"/>
    </row>
    <row r="97" spans="1:15" ht="15.75">
      <c r="A97" s="219">
        <v>2003</v>
      </c>
      <c r="B97" s="167">
        <f>0.0381764705882353*1000</f>
        <v>38.1764705882353</v>
      </c>
      <c r="C97" s="166">
        <v>10</v>
      </c>
      <c r="E97" s="158"/>
      <c r="F97" s="229"/>
      <c r="G97" s="230"/>
      <c r="H97" s="400"/>
      <c r="I97" s="400"/>
      <c r="J97" s="400"/>
      <c r="K97" s="400"/>
      <c r="L97" s="400"/>
      <c r="M97" s="400"/>
      <c r="N97" s="400"/>
      <c r="O97" s="231"/>
    </row>
    <row r="98" spans="1:15" ht="15.75">
      <c r="A98" s="219">
        <v>2004</v>
      </c>
      <c r="B98" s="167">
        <v>40</v>
      </c>
      <c r="C98" s="166">
        <v>10</v>
      </c>
      <c r="E98" s="158"/>
      <c r="F98" s="229"/>
      <c r="G98" s="230"/>
      <c r="H98" s="218"/>
      <c r="I98" s="218"/>
      <c r="J98" s="218"/>
      <c r="K98" s="218"/>
      <c r="L98" s="218"/>
      <c r="M98" s="218"/>
      <c r="N98" s="218"/>
      <c r="O98" s="231"/>
    </row>
    <row r="99" spans="1:15" ht="15.75">
      <c r="A99" s="219">
        <v>2005</v>
      </c>
      <c r="B99" s="167"/>
      <c r="C99" s="166"/>
      <c r="E99" s="158"/>
      <c r="F99" s="229"/>
      <c r="G99" s="230"/>
      <c r="H99" s="218"/>
      <c r="I99" s="218"/>
      <c r="J99" s="218"/>
      <c r="K99" s="218"/>
      <c r="L99" s="218"/>
      <c r="M99" s="218"/>
      <c r="N99" s="218"/>
      <c r="O99" s="231"/>
    </row>
    <row r="100" spans="1:23" ht="15.75">
      <c r="A100" s="214" t="s">
        <v>432</v>
      </c>
      <c r="B100" s="215">
        <f>AVERAGE(B76:B79,B81:B98)</f>
        <v>25.235294117647058</v>
      </c>
      <c r="C100" s="216">
        <f>AVERAGE(C76:C79,C81:C98)</f>
        <v>6.735371572871571</v>
      </c>
      <c r="E100" s="158"/>
      <c r="F100" s="229"/>
      <c r="G100" s="230"/>
      <c r="H100" s="179"/>
      <c r="I100" s="179"/>
      <c r="J100" s="179"/>
      <c r="K100" s="179"/>
      <c r="L100" s="179"/>
      <c r="M100" s="179"/>
      <c r="N100" s="179"/>
      <c r="O100" s="231"/>
      <c r="Q100" s="400"/>
      <c r="R100" s="400"/>
      <c r="S100" s="400"/>
      <c r="T100" s="400"/>
      <c r="U100" s="400"/>
      <c r="V100" s="400"/>
      <c r="W100" s="400"/>
    </row>
    <row r="101" spans="1:23" ht="15.75">
      <c r="A101" s="214" t="s">
        <v>433</v>
      </c>
      <c r="B101" s="215">
        <f>STDEVP(B76:B79,B81:B98)</f>
        <v>15.127340366013762</v>
      </c>
      <c r="C101" s="216">
        <f>STDEVP(C76:C79,C81:C98)</f>
        <v>3.6964980714437585</v>
      </c>
      <c r="E101" s="158"/>
      <c r="F101" s="229"/>
      <c r="G101" s="230"/>
      <c r="H101" s="179"/>
      <c r="I101" s="232"/>
      <c r="J101" s="232"/>
      <c r="K101" s="232"/>
      <c r="L101" s="232"/>
      <c r="M101" s="232"/>
      <c r="N101" s="232"/>
      <c r="O101" s="232"/>
      <c r="Q101" s="179"/>
      <c r="R101" s="179"/>
      <c r="S101" s="179"/>
      <c r="T101" s="179"/>
      <c r="U101" s="179"/>
      <c r="V101" s="179"/>
      <c r="W101" s="179"/>
    </row>
    <row r="102" spans="1:23" ht="15.75">
      <c r="A102" s="214" t="s">
        <v>434</v>
      </c>
      <c r="B102" s="215">
        <f>MAX(B76:B79,B81:B98)</f>
        <v>77</v>
      </c>
      <c r="C102" s="216">
        <f>MAX(C76:C79,C81:C98)</f>
        <v>16</v>
      </c>
      <c r="E102" s="158"/>
      <c r="F102" s="229"/>
      <c r="G102" s="230"/>
      <c r="H102" s="179"/>
      <c r="I102" s="179"/>
      <c r="J102" s="179"/>
      <c r="K102" s="179"/>
      <c r="L102" s="179"/>
      <c r="M102" s="179"/>
      <c r="N102" s="179"/>
      <c r="O102" s="179"/>
      <c r="Q102" s="179"/>
      <c r="R102" s="179"/>
      <c r="S102" s="179"/>
      <c r="T102" s="179"/>
      <c r="U102" s="179"/>
      <c r="V102" s="179"/>
      <c r="W102" s="179"/>
    </row>
    <row r="103" spans="1:23" ht="15.75">
      <c r="A103" s="214" t="s">
        <v>435</v>
      </c>
      <c r="B103" s="215">
        <f>MIN(B76:B79,B81:B96)</f>
        <v>10</v>
      </c>
      <c r="C103" s="216">
        <f>MIN(C76:C79,C81:C96)</f>
        <v>2.411111111111111</v>
      </c>
      <c r="E103" s="158"/>
      <c r="F103" s="229"/>
      <c r="G103" s="234"/>
      <c r="H103" s="234"/>
      <c r="I103" s="225"/>
      <c r="J103" s="225"/>
      <c r="K103" s="225"/>
      <c r="L103" s="225"/>
      <c r="M103" s="225"/>
      <c r="N103" s="225"/>
      <c r="O103" s="231"/>
      <c r="Q103" s="179"/>
      <c r="R103" s="179"/>
      <c r="S103" s="179"/>
      <c r="T103" s="179"/>
      <c r="U103" s="179"/>
      <c r="V103" s="179"/>
      <c r="W103" s="179"/>
    </row>
    <row r="104" spans="1:23" ht="15.75">
      <c r="A104" s="214" t="s">
        <v>436</v>
      </c>
      <c r="B104" s="217">
        <f>COUNTA(B76:B79,B81:B98)</f>
        <v>22</v>
      </c>
      <c r="C104" s="217">
        <f>COUNTA(C76:C79,C81:C98)</f>
        <v>22</v>
      </c>
      <c r="E104" s="158"/>
      <c r="F104" s="229"/>
      <c r="G104" s="234"/>
      <c r="H104" s="234"/>
      <c r="I104" s="225"/>
      <c r="J104" s="225"/>
      <c r="K104" s="225"/>
      <c r="L104" s="225"/>
      <c r="M104" s="225"/>
      <c r="N104" s="225"/>
      <c r="O104" s="231"/>
      <c r="Q104" s="224"/>
      <c r="R104" s="225"/>
      <c r="S104" s="225"/>
      <c r="T104" s="225"/>
      <c r="U104" s="225"/>
      <c r="V104" s="225"/>
      <c r="W104" s="225"/>
    </row>
    <row r="105" spans="1:23" ht="15.75">
      <c r="A105" s="214"/>
      <c r="B105" s="217"/>
      <c r="C105" s="217"/>
      <c r="E105" s="158"/>
      <c r="F105" s="229"/>
      <c r="G105" s="235"/>
      <c r="H105" s="235"/>
      <c r="I105" s="226"/>
      <c r="J105" s="226"/>
      <c r="K105" s="226"/>
      <c r="L105" s="226"/>
      <c r="M105" s="226"/>
      <c r="N105" s="225"/>
      <c r="O105" s="233"/>
      <c r="Q105" s="224"/>
      <c r="R105" s="225"/>
      <c r="S105" s="225"/>
      <c r="T105" s="225"/>
      <c r="U105" s="225"/>
      <c r="V105" s="225"/>
      <c r="W105" s="225"/>
    </row>
    <row r="106" spans="5:23" ht="12.75">
      <c r="E106" s="158"/>
      <c r="F106" s="229"/>
      <c r="G106" s="236"/>
      <c r="H106" s="236"/>
      <c r="I106" s="226"/>
      <c r="J106" s="226"/>
      <c r="K106" s="226"/>
      <c r="L106" s="226"/>
      <c r="M106" s="226"/>
      <c r="N106" s="225"/>
      <c r="O106" s="223"/>
      <c r="Q106" s="222"/>
      <c r="R106" s="226"/>
      <c r="S106" s="226"/>
      <c r="T106" s="226"/>
      <c r="U106" s="226"/>
      <c r="V106" s="226"/>
      <c r="W106" s="225"/>
    </row>
    <row r="107" spans="5:23" ht="12.75">
      <c r="E107" s="158"/>
      <c r="F107" s="229"/>
      <c r="G107" s="236"/>
      <c r="H107" s="236"/>
      <c r="I107" s="226"/>
      <c r="J107" s="226"/>
      <c r="K107" s="226"/>
      <c r="L107" s="226"/>
      <c r="M107" s="226"/>
      <c r="N107" s="225"/>
      <c r="O107" s="223"/>
      <c r="Q107" s="222"/>
      <c r="R107" s="226"/>
      <c r="S107" s="226"/>
      <c r="T107" s="226"/>
      <c r="U107" s="226"/>
      <c r="V107" s="226"/>
      <c r="W107" s="225"/>
    </row>
    <row r="108" spans="5:23" ht="12.75">
      <c r="E108" s="158"/>
      <c r="F108" s="229"/>
      <c r="G108" s="236"/>
      <c r="H108" s="236"/>
      <c r="I108" s="226"/>
      <c r="J108" s="226"/>
      <c r="K108" s="226"/>
      <c r="L108" s="226"/>
      <c r="M108" s="226"/>
      <c r="N108" s="225"/>
      <c r="O108" s="223"/>
      <c r="Q108" s="222"/>
      <c r="R108" s="226"/>
      <c r="S108" s="226"/>
      <c r="T108" s="226"/>
      <c r="U108" s="226"/>
      <c r="V108" s="226"/>
      <c r="W108" s="225"/>
    </row>
    <row r="109" spans="5:23" ht="12.75">
      <c r="E109" s="158"/>
      <c r="F109" s="229"/>
      <c r="G109" s="236"/>
      <c r="H109" s="236"/>
      <c r="I109" s="226"/>
      <c r="J109" s="226"/>
      <c r="K109" s="226"/>
      <c r="L109" s="226"/>
      <c r="M109" s="226"/>
      <c r="N109" s="225"/>
      <c r="O109" s="223"/>
      <c r="Q109" s="222"/>
      <c r="R109" s="226"/>
      <c r="S109" s="226"/>
      <c r="T109" s="226"/>
      <c r="U109" s="226"/>
      <c r="V109" s="226"/>
      <c r="W109" s="225"/>
    </row>
    <row r="110" spans="5:23" ht="12.75">
      <c r="E110" s="158"/>
      <c r="F110" s="229"/>
      <c r="G110" s="236"/>
      <c r="H110" s="236"/>
      <c r="I110" s="226"/>
      <c r="J110" s="226"/>
      <c r="K110" s="226"/>
      <c r="L110" s="226"/>
      <c r="M110" s="226"/>
      <c r="N110" s="225"/>
      <c r="O110" s="223"/>
      <c r="Q110" s="222"/>
      <c r="R110" s="226"/>
      <c r="S110" s="226"/>
      <c r="T110" s="226"/>
      <c r="U110" s="226"/>
      <c r="V110" s="226"/>
      <c r="W110" s="225"/>
    </row>
    <row r="248" spans="5:7" ht="12.75">
      <c r="E248"/>
      <c r="F248" s="160"/>
      <c r="G248"/>
    </row>
    <row r="249" spans="5:7" ht="12.75">
      <c r="E249"/>
      <c r="F249" s="160"/>
      <c r="G249"/>
    </row>
    <row r="250" spans="5:7" ht="12.75">
      <c r="E250"/>
      <c r="F250" s="160"/>
      <c r="G250"/>
    </row>
    <row r="251" spans="5:7" ht="12.75">
      <c r="E251"/>
      <c r="F251" s="160"/>
      <c r="G251"/>
    </row>
    <row r="252" spans="5:7" ht="12.75">
      <c r="E252"/>
      <c r="F252" s="160"/>
      <c r="G252"/>
    </row>
    <row r="253" spans="5:7" ht="12.75">
      <c r="E253"/>
      <c r="F253" s="160"/>
      <c r="G253"/>
    </row>
    <row r="254" spans="5:7" ht="12.75">
      <c r="E254"/>
      <c r="F254" s="160"/>
      <c r="G254"/>
    </row>
    <row r="255" spans="5:7" ht="12.75">
      <c r="E255"/>
      <c r="F255" s="160"/>
      <c r="G255"/>
    </row>
    <row r="256" spans="5:7" ht="12.75">
      <c r="E256"/>
      <c r="F256" s="160"/>
      <c r="G256"/>
    </row>
    <row r="257" spans="5:7" ht="12.75">
      <c r="E257"/>
      <c r="F257" s="160"/>
      <c r="G257"/>
    </row>
    <row r="258" spans="5:7" ht="12.75">
      <c r="E258"/>
      <c r="F258" s="160"/>
      <c r="G258"/>
    </row>
    <row r="259" spans="5:7" ht="12.75">
      <c r="E259"/>
      <c r="F259" s="160"/>
      <c r="G259"/>
    </row>
    <row r="260" spans="5:7" ht="12.75">
      <c r="E260"/>
      <c r="F260" s="160"/>
      <c r="G260"/>
    </row>
    <row r="261" spans="5:7" ht="12.75">
      <c r="E261"/>
      <c r="F261" s="160"/>
      <c r="G261"/>
    </row>
    <row r="262" spans="5:7" ht="12.75">
      <c r="E262"/>
      <c r="F262" s="160"/>
      <c r="G262"/>
    </row>
    <row r="263" spans="5:7" ht="12.75">
      <c r="E263"/>
      <c r="F263" s="160"/>
      <c r="G263"/>
    </row>
    <row r="264" spans="5:7" ht="12.75">
      <c r="E264"/>
      <c r="F264" s="160"/>
      <c r="G264"/>
    </row>
    <row r="265" spans="5:7" ht="12.75">
      <c r="E265"/>
      <c r="F265" s="160"/>
      <c r="G265"/>
    </row>
    <row r="266" spans="5:7" ht="12.75">
      <c r="E266"/>
      <c r="F266" s="160"/>
      <c r="G266"/>
    </row>
    <row r="267" spans="5:7" ht="12.75">
      <c r="E267"/>
      <c r="F267" s="160"/>
      <c r="G267"/>
    </row>
    <row r="268" spans="5:7" ht="12.75">
      <c r="E268"/>
      <c r="F268" s="160"/>
      <c r="G268"/>
    </row>
    <row r="269" spans="5:7" ht="12.75">
      <c r="E269"/>
      <c r="F269" s="160"/>
      <c r="G269"/>
    </row>
    <row r="270" spans="5:7" ht="12.75">
      <c r="E270"/>
      <c r="F270" s="160"/>
      <c r="G270"/>
    </row>
    <row r="271" spans="5:7" ht="12.75">
      <c r="E271"/>
      <c r="F271" s="160"/>
      <c r="G271"/>
    </row>
    <row r="272" spans="5:7" ht="12.75">
      <c r="E272"/>
      <c r="F272" s="160"/>
      <c r="G272"/>
    </row>
    <row r="273" spans="5:7" ht="12.75">
      <c r="E273"/>
      <c r="F273" s="160"/>
      <c r="G273"/>
    </row>
    <row r="274" spans="5:7" ht="12.75">
      <c r="E274"/>
      <c r="F274" s="160"/>
      <c r="G274"/>
    </row>
    <row r="275" spans="5:7" ht="12.75">
      <c r="E275"/>
      <c r="F275" s="160"/>
      <c r="G275"/>
    </row>
    <row r="276" spans="5:7" ht="12.75">
      <c r="E276"/>
      <c r="F276" s="160"/>
      <c r="G276"/>
    </row>
    <row r="277" spans="5:7" ht="12.75">
      <c r="E277"/>
      <c r="F277" s="160"/>
      <c r="G277"/>
    </row>
    <row r="278" spans="5:7" ht="12.75">
      <c r="E278"/>
      <c r="F278" s="160"/>
      <c r="G278"/>
    </row>
    <row r="279" spans="5:7" ht="12.75">
      <c r="E279"/>
      <c r="F279" s="160"/>
      <c r="G279"/>
    </row>
    <row r="280" spans="5:7" ht="12.75">
      <c r="E280"/>
      <c r="F280" s="160"/>
      <c r="G280"/>
    </row>
    <row r="281" spans="5:7" ht="12.75">
      <c r="E281"/>
      <c r="F281" s="160"/>
      <c r="G281"/>
    </row>
    <row r="282" spans="5:7" ht="12.75">
      <c r="E282"/>
      <c r="F282" s="160"/>
      <c r="G282"/>
    </row>
    <row r="283" spans="5:7" ht="12.75">
      <c r="E283"/>
      <c r="F283" s="160"/>
      <c r="G283"/>
    </row>
    <row r="284" spans="5:7" ht="12.75">
      <c r="E284"/>
      <c r="F284" s="160"/>
      <c r="G284"/>
    </row>
    <row r="285" spans="5:7" ht="12.75">
      <c r="E285"/>
      <c r="F285" s="160"/>
      <c r="G285"/>
    </row>
    <row r="286" spans="5:7" ht="12.75">
      <c r="E286"/>
      <c r="F286" s="160"/>
      <c r="G286"/>
    </row>
    <row r="287" spans="5:7" ht="12.75">
      <c r="E287"/>
      <c r="F287" s="160"/>
      <c r="G287"/>
    </row>
    <row r="288" spans="5:7" ht="12.75">
      <c r="E288"/>
      <c r="F288" s="160"/>
      <c r="G288"/>
    </row>
    <row r="289" spans="5:7" ht="12.75">
      <c r="E289"/>
      <c r="F289" s="160"/>
      <c r="G289"/>
    </row>
    <row r="290" spans="5:7" ht="12.75">
      <c r="E290"/>
      <c r="F290" s="160"/>
      <c r="G290"/>
    </row>
    <row r="291" spans="5:7" ht="12.75">
      <c r="E291"/>
      <c r="F291" s="160"/>
      <c r="G291"/>
    </row>
    <row r="292" spans="5:7" ht="12.75">
      <c r="E292"/>
      <c r="F292" s="160"/>
      <c r="G292"/>
    </row>
    <row r="293" spans="5:7" ht="12.75">
      <c r="E293"/>
      <c r="F293" s="160"/>
      <c r="G293"/>
    </row>
    <row r="294" spans="5:7" ht="12.75">
      <c r="E294"/>
      <c r="F294" s="160"/>
      <c r="G294"/>
    </row>
    <row r="295" spans="5:7" ht="12.75">
      <c r="E295"/>
      <c r="F295" s="160"/>
      <c r="G295"/>
    </row>
    <row r="296" spans="5:7" ht="12.75">
      <c r="E296"/>
      <c r="F296" s="160"/>
      <c r="G296"/>
    </row>
    <row r="297" spans="5:7" ht="12.75">
      <c r="E297"/>
      <c r="F297" s="160"/>
      <c r="G297"/>
    </row>
    <row r="298" spans="5:7" ht="12.75">
      <c r="E298"/>
      <c r="F298" s="160"/>
      <c r="G298"/>
    </row>
    <row r="299" spans="5:7" ht="12.75">
      <c r="E299"/>
      <c r="F299" s="160"/>
      <c r="G299"/>
    </row>
    <row r="300" spans="5:7" ht="12.75">
      <c r="E300"/>
      <c r="F300" s="160"/>
      <c r="G300"/>
    </row>
    <row r="301" spans="5:7" ht="12.75">
      <c r="E301"/>
      <c r="F301" s="160"/>
      <c r="G301"/>
    </row>
    <row r="302" spans="5:7" ht="12.75">
      <c r="E302"/>
      <c r="F302" s="160"/>
      <c r="G302"/>
    </row>
    <row r="303" spans="5:7" ht="12.75">
      <c r="E303"/>
      <c r="F303" s="160"/>
      <c r="G303"/>
    </row>
    <row r="304" spans="5:7" ht="12.75">
      <c r="E304"/>
      <c r="F304" s="160"/>
      <c r="G304"/>
    </row>
    <row r="305" spans="5:7" ht="12.75">
      <c r="E305"/>
      <c r="F305" s="160"/>
      <c r="G305"/>
    </row>
    <row r="306" spans="5:7" ht="12.75">
      <c r="E306"/>
      <c r="F306" s="160"/>
      <c r="G306"/>
    </row>
    <row r="307" spans="5:7" ht="12.75">
      <c r="E307"/>
      <c r="F307" s="160"/>
      <c r="G307"/>
    </row>
    <row r="308" spans="5:7" ht="12.75">
      <c r="E308"/>
      <c r="F308" s="160"/>
      <c r="G308"/>
    </row>
    <row r="309" spans="5:7" ht="12.75">
      <c r="E309"/>
      <c r="F309" s="160"/>
      <c r="G309"/>
    </row>
    <row r="310" spans="5:7" ht="12.75">
      <c r="E310"/>
      <c r="F310" s="160"/>
      <c r="G310"/>
    </row>
    <row r="311" spans="5:7" ht="12.75">
      <c r="E311"/>
      <c r="F311" s="160"/>
      <c r="G311"/>
    </row>
    <row r="312" spans="5:7" ht="12.75">
      <c r="E312"/>
      <c r="F312" s="160"/>
      <c r="G312"/>
    </row>
    <row r="313" spans="5:7" ht="12.75">
      <c r="E313"/>
      <c r="F313" s="160"/>
      <c r="G313"/>
    </row>
    <row r="314" spans="5:7" ht="12.75">
      <c r="E314"/>
      <c r="F314" s="160"/>
      <c r="G314"/>
    </row>
    <row r="315" spans="5:7" ht="12.75">
      <c r="E315"/>
      <c r="F315" s="160"/>
      <c r="G315"/>
    </row>
    <row r="316" spans="5:7" ht="12.75">
      <c r="E316"/>
      <c r="F316" s="160"/>
      <c r="G316"/>
    </row>
    <row r="317" spans="5:7" ht="12.75">
      <c r="E317"/>
      <c r="F317" s="160"/>
      <c r="G317"/>
    </row>
    <row r="318" spans="5:7" ht="12.75">
      <c r="E318"/>
      <c r="F318" s="160"/>
      <c r="G318"/>
    </row>
    <row r="319" spans="5:7" ht="12.75">
      <c r="E319"/>
      <c r="F319" s="160"/>
      <c r="G319"/>
    </row>
    <row r="320" spans="5:7" ht="12.75">
      <c r="E320"/>
      <c r="F320" s="160"/>
      <c r="G320"/>
    </row>
    <row r="321" spans="5:7" ht="12.75">
      <c r="E321"/>
      <c r="F321" s="160"/>
      <c r="G321"/>
    </row>
    <row r="322" spans="5:7" ht="12.75">
      <c r="E322"/>
      <c r="F322" s="160"/>
      <c r="G322"/>
    </row>
    <row r="323" spans="5:7" ht="12.75">
      <c r="E323"/>
      <c r="F323" s="160"/>
      <c r="G323"/>
    </row>
    <row r="324" spans="5:7" ht="12.75">
      <c r="E324"/>
      <c r="F324" s="160"/>
      <c r="G324"/>
    </row>
    <row r="325" spans="5:7" ht="12.75">
      <c r="E325"/>
      <c r="F325" s="160"/>
      <c r="G325"/>
    </row>
    <row r="326" spans="5:7" ht="12.75">
      <c r="E326"/>
      <c r="F326" s="160"/>
      <c r="G326"/>
    </row>
    <row r="327" spans="5:7" ht="12.75">
      <c r="E327"/>
      <c r="F327" s="160"/>
      <c r="G327"/>
    </row>
    <row r="328" spans="5:7" ht="12.75">
      <c r="E328"/>
      <c r="F328" s="160"/>
      <c r="G328"/>
    </row>
    <row r="329" spans="5:7" ht="12.75">
      <c r="E329"/>
      <c r="F329" s="160"/>
      <c r="G329"/>
    </row>
    <row r="330" spans="5:7" ht="12.75">
      <c r="E330"/>
      <c r="F330" s="160"/>
      <c r="G330"/>
    </row>
    <row r="331" spans="5:7" ht="12.75">
      <c r="E331"/>
      <c r="F331" s="160"/>
      <c r="G331"/>
    </row>
    <row r="332" spans="5:7" ht="12.75">
      <c r="E332"/>
      <c r="F332" s="160"/>
      <c r="G332"/>
    </row>
    <row r="333" spans="5:7" ht="12.75">
      <c r="E333"/>
      <c r="F333" s="160"/>
      <c r="G333"/>
    </row>
    <row r="334" spans="5:7" ht="12.75">
      <c r="E334"/>
      <c r="F334" s="160"/>
      <c r="G334"/>
    </row>
    <row r="335" spans="5:7" ht="12.75">
      <c r="E335"/>
      <c r="F335" s="160"/>
      <c r="G335"/>
    </row>
    <row r="336" spans="5:7" ht="12.75">
      <c r="E336"/>
      <c r="F336" s="160"/>
      <c r="G336"/>
    </row>
    <row r="337" spans="5:7" ht="12.75">
      <c r="E337"/>
      <c r="F337" s="160"/>
      <c r="G337"/>
    </row>
    <row r="338" spans="5:7" ht="12.75">
      <c r="E338"/>
      <c r="F338" s="160"/>
      <c r="G338"/>
    </row>
    <row r="339" spans="5:7" ht="12.75">
      <c r="E339"/>
      <c r="F339" s="160"/>
      <c r="G339"/>
    </row>
    <row r="340" spans="5:7" ht="12.75">
      <c r="E340"/>
      <c r="F340" s="160"/>
      <c r="G340"/>
    </row>
    <row r="341" spans="5:7" ht="12.75">
      <c r="E341"/>
      <c r="F341" s="160"/>
      <c r="G341"/>
    </row>
    <row r="342" spans="5:7" ht="12.75">
      <c r="E342"/>
      <c r="F342" s="160"/>
      <c r="G342"/>
    </row>
    <row r="343" spans="5:7" ht="12.75">
      <c r="E343"/>
      <c r="F343" s="160"/>
      <c r="G343"/>
    </row>
    <row r="344" spans="5:7" ht="12.75">
      <c r="E344"/>
      <c r="F344" s="160"/>
      <c r="G344"/>
    </row>
    <row r="345" spans="5:7" ht="12.75">
      <c r="E345"/>
      <c r="F345" s="160"/>
      <c r="G345"/>
    </row>
    <row r="346" spans="5:7" ht="12.75">
      <c r="E346"/>
      <c r="F346" s="160"/>
      <c r="G346"/>
    </row>
    <row r="347" spans="5:7" ht="12.75">
      <c r="E347"/>
      <c r="F347" s="160"/>
      <c r="G347"/>
    </row>
    <row r="348" spans="5:7" ht="12.75">
      <c r="E348"/>
      <c r="F348" s="160"/>
      <c r="G348"/>
    </row>
    <row r="349" spans="5:7" ht="12.75">
      <c r="E349"/>
      <c r="F349" s="160"/>
      <c r="G349"/>
    </row>
    <row r="350" spans="5:7" ht="12.75">
      <c r="E350"/>
      <c r="F350" s="160"/>
      <c r="G350"/>
    </row>
    <row r="351" spans="5:7" ht="12.75">
      <c r="E351"/>
      <c r="F351" s="160"/>
      <c r="G351"/>
    </row>
    <row r="352" spans="5:7" ht="12.75">
      <c r="E352"/>
      <c r="F352" s="160"/>
      <c r="G352"/>
    </row>
    <row r="353" spans="5:7" ht="12.75">
      <c r="E353"/>
      <c r="F353" s="160"/>
      <c r="G353"/>
    </row>
    <row r="354" spans="5:7" ht="12.75">
      <c r="E354"/>
      <c r="F354" s="160"/>
      <c r="G354"/>
    </row>
    <row r="355" spans="5:7" ht="12.75">
      <c r="E355"/>
      <c r="F355" s="160"/>
      <c r="G355"/>
    </row>
    <row r="356" spans="5:7" ht="12.75">
      <c r="E356"/>
      <c r="F356" s="160"/>
      <c r="G356"/>
    </row>
    <row r="357" spans="5:7" ht="12.75">
      <c r="E357"/>
      <c r="F357" s="160"/>
      <c r="G357"/>
    </row>
    <row r="358" spans="5:7" ht="12.75">
      <c r="E358"/>
      <c r="F358" s="160"/>
      <c r="G358"/>
    </row>
    <row r="359" spans="5:7" ht="12.75">
      <c r="E359"/>
      <c r="F359" s="160"/>
      <c r="G359"/>
    </row>
    <row r="360" spans="5:7" ht="12.75">
      <c r="E360"/>
      <c r="F360" s="160"/>
      <c r="G360"/>
    </row>
    <row r="361" spans="5:7" ht="12.75">
      <c r="E361"/>
      <c r="F361" s="160"/>
      <c r="G361"/>
    </row>
    <row r="362" spans="5:7" ht="12.75">
      <c r="E362"/>
      <c r="F362" s="160"/>
      <c r="G362"/>
    </row>
    <row r="363" spans="5:7" ht="12.75">
      <c r="E363"/>
      <c r="F363" s="160"/>
      <c r="G363"/>
    </row>
    <row r="364" spans="5:7" ht="12.75">
      <c r="E364"/>
      <c r="F364" s="160"/>
      <c r="G364"/>
    </row>
    <row r="365" spans="5:7" ht="12.75">
      <c r="E365"/>
      <c r="F365" s="160"/>
      <c r="G365"/>
    </row>
    <row r="366" spans="5:7" ht="12.75">
      <c r="E366"/>
      <c r="F366" s="160"/>
      <c r="G366"/>
    </row>
    <row r="367" spans="5:7" ht="12.75">
      <c r="E367"/>
      <c r="F367" s="160"/>
      <c r="G367"/>
    </row>
    <row r="368" spans="5:7" ht="12.75">
      <c r="E368"/>
      <c r="F368" s="160"/>
      <c r="G368"/>
    </row>
    <row r="369" spans="5:7" ht="12.75">
      <c r="E369"/>
      <c r="F369" s="160"/>
      <c r="G369"/>
    </row>
    <row r="370" spans="5:7" ht="12.75">
      <c r="E370"/>
      <c r="F370" s="160"/>
      <c r="G370"/>
    </row>
    <row r="371" spans="5:7" ht="12.75">
      <c r="E371"/>
      <c r="F371" s="160"/>
      <c r="G371"/>
    </row>
    <row r="372" spans="5:7" ht="12.75">
      <c r="E372"/>
      <c r="F372" s="160"/>
      <c r="G372"/>
    </row>
    <row r="373" spans="5:7" ht="12.75">
      <c r="E373"/>
      <c r="F373" s="160"/>
      <c r="G373"/>
    </row>
    <row r="374" spans="5:7" ht="12.75">
      <c r="E374"/>
      <c r="F374" s="160"/>
      <c r="G374"/>
    </row>
    <row r="375" spans="5:7" ht="12.75">
      <c r="E375"/>
      <c r="F375" s="160"/>
      <c r="G375"/>
    </row>
    <row r="376" spans="5:7" ht="12.75">
      <c r="E376"/>
      <c r="F376" s="160"/>
      <c r="G376"/>
    </row>
    <row r="377" spans="5:7" ht="12.75">
      <c r="E377"/>
      <c r="F377" s="160"/>
      <c r="G377"/>
    </row>
    <row r="378" spans="5:7" ht="12.75">
      <c r="E378"/>
      <c r="F378" s="160"/>
      <c r="G378"/>
    </row>
    <row r="379" spans="5:7" ht="12.75">
      <c r="E379"/>
      <c r="F379" s="160"/>
      <c r="G379"/>
    </row>
    <row r="380" spans="5:7" ht="12.75">
      <c r="E380"/>
      <c r="F380" s="160"/>
      <c r="G380"/>
    </row>
    <row r="381" spans="5:7" ht="12.75">
      <c r="E381"/>
      <c r="F381" s="160"/>
      <c r="G381"/>
    </row>
    <row r="382" spans="5:7" ht="12.75">
      <c r="E382"/>
      <c r="F382" s="160"/>
      <c r="G382"/>
    </row>
    <row r="383" spans="5:7" ht="12.75">
      <c r="E383"/>
      <c r="F383" s="160"/>
      <c r="G383"/>
    </row>
    <row r="384" spans="5:7" ht="12.75">
      <c r="E384"/>
      <c r="F384" s="160"/>
      <c r="G384"/>
    </row>
    <row r="385" spans="5:7" ht="12.75">
      <c r="E385"/>
      <c r="F385" s="160"/>
      <c r="G385"/>
    </row>
    <row r="386" spans="5:7" ht="12.75">
      <c r="E386"/>
      <c r="F386" s="160"/>
      <c r="G386"/>
    </row>
    <row r="387" spans="5:7" ht="12.75">
      <c r="E387"/>
      <c r="F387" s="160"/>
      <c r="G387"/>
    </row>
    <row r="388" spans="5:7" ht="12.75">
      <c r="E388"/>
      <c r="F388" s="160"/>
      <c r="G388"/>
    </row>
    <row r="389" spans="5:7" ht="12.75">
      <c r="E389"/>
      <c r="F389" s="160"/>
      <c r="G389"/>
    </row>
    <row r="390" spans="5:7" ht="12.75">
      <c r="E390"/>
      <c r="F390" s="160"/>
      <c r="G390"/>
    </row>
  </sheetData>
  <mergeCells count="2">
    <mergeCell ref="Q100:W100"/>
    <mergeCell ref="H97:N9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RNC Consulting,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 N. Clayshulte</dc:creator>
  <cp:keywords/>
  <dc:description/>
  <cp:lastModifiedBy>Russell N. Clayshulte</cp:lastModifiedBy>
  <cp:lastPrinted>2006-02-28T14:51:40Z</cp:lastPrinted>
  <dcterms:created xsi:type="dcterms:W3CDTF">2004-10-06T18:45:30Z</dcterms:created>
  <dcterms:modified xsi:type="dcterms:W3CDTF">2006-04-20T16:48:04Z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-868129833</vt:i4>
  </property>
  <property fmtid="{D5CDD505-2E9C-101B-9397-08002B2CF9AE}" pid="3" name="_EmailSubject">
    <vt:lpwstr>Final 2004 Master Data Summary</vt:lpwstr>
  </property>
  <property fmtid="{D5CDD505-2E9C-101B-9397-08002B2CF9AE}" pid="4" name="_AuthorEmail">
    <vt:lpwstr>casciences@qwest.net</vt:lpwstr>
  </property>
  <property fmtid="{D5CDD505-2E9C-101B-9397-08002B2CF9AE}" pid="5" name="_AuthorEmailDisplayName">
    <vt:lpwstr>Walt Foutz</vt:lpwstr>
  </property>
  <property fmtid="{D5CDD505-2E9C-101B-9397-08002B2CF9AE}" pid="6" name="_PreviousAdHocReviewCycleID">
    <vt:i4>-1476826483</vt:i4>
  </property>
  <property fmtid="{D5CDD505-2E9C-101B-9397-08002B2CF9AE}" pid="7" name="_ReviewingToolsShownOnce">
    <vt:lpwstr/>
  </property>
</Properties>
</file>